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xr:revisionPtr revIDLastSave="0" documentId="13_ncr:1_{D73AF92A-BA90-46F6-A485-7E237215F5A7}" xr6:coauthVersionLast="47" xr6:coauthVersionMax="47" xr10:uidLastSave="{00000000-0000-0000-0000-000000000000}"/>
  <bookViews>
    <workbookView xWindow="28680" yWindow="-120" windowWidth="29040" windowHeight="15840" tabRatio="867" xr2:uid="{00000000-000D-0000-FFFF-FFFF00000000}"/>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5" i="70" l="1"/>
  <c r="AK223" i="70"/>
  <c r="AV20" i="90"/>
  <c r="AV24" i="90"/>
  <c r="AV28" i="90"/>
  <c r="AV32" i="90"/>
  <c r="AV36" i="90"/>
  <c r="AV40" i="90"/>
  <c r="AV44" i="90"/>
  <c r="AV48" i="90"/>
  <c r="AV52" i="90"/>
  <c r="AV56" i="90"/>
  <c r="AV60" i="90"/>
  <c r="AV64" i="90"/>
  <c r="AV68" i="90"/>
  <c r="AV72" i="90"/>
  <c r="AV76" i="90"/>
  <c r="AV80" i="90"/>
  <c r="AV84" i="90"/>
  <c r="AV88" i="90"/>
  <c r="AV92" i="90"/>
  <c r="AV96" i="90"/>
  <c r="AV100" i="90"/>
  <c r="AV104" i="90"/>
  <c r="AV108" i="90"/>
  <c r="AV112" i="90"/>
  <c r="AV116" i="90"/>
  <c r="AV120" i="90"/>
  <c r="AV124" i="90"/>
  <c r="AV128" i="90"/>
  <c r="AV132" i="90"/>
  <c r="AV136" i="90"/>
  <c r="AV140" i="90"/>
  <c r="AV144" i="90"/>
  <c r="AV148" i="90"/>
  <c r="AV152" i="90"/>
  <c r="AV156" i="90"/>
  <c r="AV160" i="90"/>
  <c r="AV164" i="90"/>
  <c r="AV168" i="90"/>
  <c r="AV172" i="90"/>
  <c r="AV176" i="90"/>
  <c r="AV180" i="90"/>
  <c r="AV184" i="90"/>
  <c r="AV188" i="90"/>
  <c r="AV192" i="90"/>
  <c r="AV196" i="90"/>
  <c r="AV200" i="90"/>
  <c r="AV204" i="90"/>
  <c r="AV208" i="90"/>
  <c r="AV212" i="90"/>
  <c r="AV216" i="90"/>
  <c r="AV220" i="90"/>
  <c r="AV224" i="90"/>
  <c r="AV228" i="90"/>
  <c r="AV232" i="90"/>
  <c r="AV236" i="90"/>
  <c r="AV240" i="90"/>
  <c r="AV244" i="90"/>
  <c r="AV248" i="90"/>
  <c r="AV252" i="90"/>
  <c r="AV256" i="90"/>
  <c r="AV260" i="90"/>
  <c r="AV264" i="90"/>
  <c r="AV268" i="90"/>
  <c r="AV272" i="90"/>
  <c r="AV276" i="90"/>
  <c r="AV280" i="90"/>
  <c r="AV284" i="90"/>
  <c r="AV288" i="90"/>
  <c r="AV292" i="90"/>
  <c r="AV296" i="90"/>
  <c r="AV300" i="90"/>
  <c r="AV304" i="90"/>
  <c r="AV308" i="90"/>
  <c r="AV312" i="90"/>
  <c r="AV316" i="90"/>
  <c r="AV320" i="90"/>
  <c r="AV324" i="90"/>
  <c r="AV328" i="90"/>
  <c r="AV332" i="90"/>
  <c r="AV336" i="90"/>
  <c r="AV340" i="90"/>
  <c r="AV344" i="90"/>
  <c r="AV348" i="90"/>
  <c r="AV352" i="90"/>
  <c r="AV356" i="90"/>
  <c r="AV360" i="90"/>
  <c r="AV364" i="90"/>
  <c r="AV368" i="90"/>
  <c r="AV372" i="90"/>
  <c r="AV376" i="90"/>
  <c r="AV380" i="90"/>
  <c r="AV384" i="90"/>
  <c r="AV388" i="90"/>
  <c r="AV392" i="90"/>
  <c r="AV396" i="90"/>
  <c r="AV400" i="90"/>
  <c r="AV404" i="90"/>
  <c r="AV408" i="90"/>
  <c r="AV412" i="90"/>
  <c r="AV16" i="90"/>
  <c r="AN16" i="83"/>
  <c r="AN20" i="83"/>
  <c r="AN24" i="83"/>
  <c r="AN28" i="83"/>
  <c r="AN32" i="83"/>
  <c r="AN36" i="83"/>
  <c r="AN40" i="83"/>
  <c r="AN44" i="83"/>
  <c r="AN48" i="83"/>
  <c r="AN52" i="83"/>
  <c r="AN56" i="83"/>
  <c r="AN60" i="83"/>
  <c r="AN64" i="83"/>
  <c r="AN68" i="83"/>
  <c r="AN72" i="83"/>
  <c r="AN76" i="83"/>
  <c r="AN80" i="83"/>
  <c r="AN84" i="83"/>
  <c r="AN88" i="83"/>
  <c r="AN92" i="83"/>
  <c r="AN96" i="83"/>
  <c r="AN100" i="83"/>
  <c r="AN104" i="83"/>
  <c r="AN108" i="83"/>
  <c r="AN112" i="83"/>
  <c r="AN116" i="83"/>
  <c r="AN120" i="83"/>
  <c r="AN124" i="83"/>
  <c r="AN128" i="83"/>
  <c r="AN132" i="83"/>
  <c r="AN136" i="83"/>
  <c r="AN140" i="83"/>
  <c r="AN144" i="83"/>
  <c r="AN148" i="83"/>
  <c r="AN152" i="83"/>
  <c r="AN156" i="83"/>
  <c r="AN160" i="83"/>
  <c r="AN164" i="83"/>
  <c r="AN168" i="83"/>
  <c r="AN172" i="83"/>
  <c r="AN176" i="83"/>
  <c r="AN180" i="83"/>
  <c r="AN184" i="83"/>
  <c r="AN188" i="83"/>
  <c r="AN192" i="83"/>
  <c r="AN196" i="83"/>
  <c r="AN200" i="83"/>
  <c r="AN204" i="83"/>
  <c r="AN208" i="83"/>
  <c r="AN212" i="83"/>
  <c r="AN216" i="83"/>
  <c r="AN220" i="83"/>
  <c r="AN224" i="83"/>
  <c r="AN228" i="83"/>
  <c r="AN232" i="83"/>
  <c r="AN236" i="83"/>
  <c r="AN240" i="83"/>
  <c r="AN244" i="83"/>
  <c r="AN248" i="83"/>
  <c r="AN252" i="83"/>
  <c r="AN256" i="83"/>
  <c r="AN260" i="83"/>
  <c r="AN264" i="83"/>
  <c r="AN268" i="83"/>
  <c r="AN272" i="83"/>
  <c r="AN276" i="83"/>
  <c r="AN280" i="83"/>
  <c r="AN284" i="83"/>
  <c r="AN288" i="83"/>
  <c r="AN292" i="83"/>
  <c r="AN296" i="83"/>
  <c r="AN300" i="83"/>
  <c r="AN304" i="83"/>
  <c r="AN308" i="83"/>
  <c r="AN312" i="83"/>
  <c r="AN316" i="83"/>
  <c r="AN320" i="83"/>
  <c r="AN324" i="83"/>
  <c r="AN328" i="83"/>
  <c r="AN332" i="83"/>
  <c r="AN336" i="83"/>
  <c r="AN340" i="83"/>
  <c r="AN344" i="83"/>
  <c r="AN348" i="83"/>
  <c r="AN352" i="83"/>
  <c r="AN356" i="83"/>
  <c r="AN360" i="83"/>
  <c r="AN364" i="83"/>
  <c r="AN368" i="83"/>
  <c r="AN372" i="83"/>
  <c r="AN376" i="83"/>
  <c r="AN380" i="83"/>
  <c r="AN384" i="83"/>
  <c r="AN388" i="83"/>
  <c r="AN392" i="83"/>
  <c r="AN396" i="83"/>
  <c r="AN400" i="83"/>
  <c r="AN404" i="83"/>
  <c r="AN408" i="83"/>
  <c r="AN412" i="83"/>
  <c r="Y25" i="70"/>
  <c r="AM116" i="70"/>
  <c r="AK114" i="70"/>
  <c r="T106" i="70"/>
  <c r="AI95" i="70"/>
  <c r="AI93" i="70"/>
  <c r="AS17" i="9"/>
  <c r="AS20" i="9"/>
  <c r="AS23" i="9"/>
  <c r="AS26" i="9"/>
  <c r="AS29" i="9"/>
  <c r="AS32" i="9"/>
  <c r="AS35" i="9"/>
  <c r="AS38" i="9"/>
  <c r="AS41" i="9"/>
  <c r="AS44" i="9"/>
  <c r="AS47" i="9"/>
  <c r="AS50" i="9"/>
  <c r="AS53" i="9"/>
  <c r="AS56" i="9"/>
  <c r="AS59" i="9"/>
  <c r="AS62" i="9"/>
  <c r="AS65" i="9"/>
  <c r="AS68" i="9"/>
  <c r="AS71" i="9"/>
  <c r="AS74" i="9"/>
  <c r="AS77" i="9"/>
  <c r="AS80" i="9"/>
  <c r="AS83" i="9"/>
  <c r="AS86" i="9"/>
  <c r="AS89" i="9"/>
  <c r="AS92" i="9"/>
  <c r="AS95" i="9"/>
  <c r="AS98" i="9"/>
  <c r="AS101" i="9"/>
  <c r="AS104" i="9"/>
  <c r="AS107" i="9"/>
  <c r="AS110" i="9"/>
  <c r="AS113" i="9"/>
  <c r="AS116" i="9"/>
  <c r="AS119" i="9"/>
  <c r="AS122" i="9"/>
  <c r="AS125" i="9"/>
  <c r="AS128" i="9"/>
  <c r="AS131" i="9"/>
  <c r="AS134" i="9"/>
  <c r="AS137" i="9"/>
  <c r="AS140" i="9"/>
  <c r="AS143" i="9"/>
  <c r="AS146" i="9"/>
  <c r="AS149" i="9"/>
  <c r="AS152" i="9"/>
  <c r="AS155" i="9"/>
  <c r="AS158" i="9"/>
  <c r="AS161" i="9"/>
  <c r="AS164" i="9"/>
  <c r="AS167" i="9"/>
  <c r="AS170" i="9"/>
  <c r="AS173" i="9"/>
  <c r="AS176" i="9"/>
  <c r="AS179" i="9"/>
  <c r="AS182" i="9"/>
  <c r="AS185" i="9"/>
  <c r="AS188" i="9"/>
  <c r="AS191" i="9"/>
  <c r="AS194" i="9"/>
  <c r="AS197" i="9"/>
  <c r="AS200" i="9"/>
  <c r="AS203" i="9"/>
  <c r="AS206" i="9"/>
  <c r="AS209" i="9"/>
  <c r="AS212" i="9"/>
  <c r="AS215" i="9"/>
  <c r="AS218" i="9"/>
  <c r="AS221" i="9"/>
  <c r="AS224" i="9"/>
  <c r="AS227" i="9"/>
  <c r="AS230" i="9"/>
  <c r="AS233" i="9"/>
  <c r="AS236" i="9"/>
  <c r="AS239" i="9"/>
  <c r="AS242" i="9"/>
  <c r="AS245" i="9"/>
  <c r="AS248" i="9"/>
  <c r="AS251" i="9"/>
  <c r="AS254" i="9"/>
  <c r="AS257" i="9"/>
  <c r="AS260" i="9"/>
  <c r="AS263" i="9"/>
  <c r="AS266" i="9"/>
  <c r="AS269" i="9"/>
  <c r="AS272" i="9"/>
  <c r="AS275" i="9"/>
  <c r="AS278" i="9"/>
  <c r="AS281" i="9"/>
  <c r="AS284" i="9"/>
  <c r="AS287" i="9"/>
  <c r="AS290" i="9"/>
  <c r="AS293" i="9"/>
  <c r="AS296" i="9"/>
  <c r="AS299" i="9"/>
  <c r="AS302" i="9"/>
  <c r="AS305" i="9"/>
  <c r="AS308" i="9"/>
  <c r="AS311" i="9"/>
  <c r="AS14" i="9"/>
  <c r="BF410" i="83"/>
  <c r="BF42" i="83"/>
  <c r="BF46" i="83"/>
  <c r="BF50" i="83"/>
  <c r="BF54" i="83"/>
  <c r="BF58" i="83"/>
  <c r="BF62" i="83"/>
  <c r="BF66" i="83"/>
  <c r="BF70" i="83"/>
  <c r="BF74" i="83"/>
  <c r="BF78" i="83"/>
  <c r="BF82" i="83"/>
  <c r="BF86" i="83"/>
  <c r="BF90" i="83"/>
  <c r="BF94" i="83"/>
  <c r="BF98" i="83"/>
  <c r="BF102" i="83"/>
  <c r="BF106" i="83"/>
  <c r="BF110" i="83"/>
  <c r="BF114" i="83"/>
  <c r="BF118" i="83"/>
  <c r="BF122" i="83"/>
  <c r="BF126" i="83"/>
  <c r="BF130" i="83"/>
  <c r="BF134" i="83"/>
  <c r="BF138" i="83"/>
  <c r="BF142" i="83"/>
  <c r="BF146" i="83"/>
  <c r="BF150" i="83"/>
  <c r="BF154" i="83"/>
  <c r="BF158" i="83"/>
  <c r="BF162" i="83"/>
  <c r="BF166" i="83"/>
  <c r="BF170" i="83"/>
  <c r="BF174" i="83"/>
  <c r="BF178" i="83"/>
  <c r="BF182" i="83"/>
  <c r="BF186" i="83"/>
  <c r="BF190" i="83"/>
  <c r="BF194" i="83"/>
  <c r="BF198" i="83"/>
  <c r="BF202" i="83"/>
  <c r="BF206" i="83"/>
  <c r="BF210" i="83"/>
  <c r="BF214" i="83"/>
  <c r="BF218" i="83"/>
  <c r="BF222" i="83"/>
  <c r="BF226" i="83"/>
  <c r="BF230" i="83"/>
  <c r="BF234" i="83"/>
  <c r="BF238" i="83"/>
  <c r="BF242" i="83"/>
  <c r="BF246" i="83"/>
  <c r="BF250" i="83"/>
  <c r="BF254" i="83"/>
  <c r="BF258" i="83"/>
  <c r="BF262" i="83"/>
  <c r="BF266" i="83"/>
  <c r="BF270" i="83"/>
  <c r="BF274" i="83"/>
  <c r="BF278" i="83"/>
  <c r="BF282" i="83"/>
  <c r="BF286" i="83"/>
  <c r="BF290" i="83"/>
  <c r="BF294" i="83"/>
  <c r="BF298" i="83"/>
  <c r="BF302" i="83"/>
  <c r="BF306" i="83"/>
  <c r="BF310" i="83"/>
  <c r="BF314" i="83"/>
  <c r="BF318" i="83"/>
  <c r="BF322" i="83"/>
  <c r="BF326" i="83"/>
  <c r="BF330" i="83"/>
  <c r="BF334" i="83"/>
  <c r="BF338" i="83"/>
  <c r="BF342" i="83"/>
  <c r="BF346" i="83"/>
  <c r="BF350" i="83"/>
  <c r="BF354" i="83"/>
  <c r="BF358" i="83"/>
  <c r="BF362" i="83"/>
  <c r="BF366" i="83"/>
  <c r="BF370" i="83"/>
  <c r="BF374" i="83"/>
  <c r="BF378" i="83"/>
  <c r="BF382" i="83"/>
  <c r="BF386" i="83"/>
  <c r="BF390" i="83"/>
  <c r="BF394" i="83"/>
  <c r="BF398" i="83"/>
  <c r="BF402" i="83"/>
  <c r="BF406" i="83"/>
  <c r="AG55" i="9"/>
  <c r="AG58" i="9"/>
  <c r="AG61" i="9"/>
  <c r="AG64" i="9"/>
  <c r="AG67" i="9"/>
  <c r="AG70" i="9"/>
  <c r="AG73" i="9"/>
  <c r="AG76" i="9"/>
  <c r="AG79" i="9"/>
  <c r="AG82" i="9"/>
  <c r="AG85" i="9"/>
  <c r="AG88" i="9"/>
  <c r="AG91" i="9"/>
  <c r="AG94" i="9"/>
  <c r="AG97" i="9"/>
  <c r="AG100" i="9"/>
  <c r="AG103" i="9"/>
  <c r="AG106" i="9"/>
  <c r="AG109" i="9"/>
  <c r="AG112" i="9"/>
  <c r="AG115" i="9"/>
  <c r="AG118" i="9"/>
  <c r="AG121" i="9"/>
  <c r="AG124" i="9"/>
  <c r="AG127" i="9"/>
  <c r="AG130" i="9"/>
  <c r="AG133" i="9"/>
  <c r="AG136" i="9"/>
  <c r="AG139" i="9"/>
  <c r="AG142" i="9"/>
  <c r="AG145" i="9"/>
  <c r="AG148" i="9"/>
  <c r="AG151" i="9"/>
  <c r="AG154" i="9"/>
  <c r="AG157" i="9"/>
  <c r="AG160" i="9"/>
  <c r="AG163" i="9"/>
  <c r="AG166" i="9"/>
  <c r="AG169" i="9"/>
  <c r="AG172" i="9"/>
  <c r="AG175" i="9"/>
  <c r="AG178" i="9"/>
  <c r="AG181" i="9"/>
  <c r="AG184" i="9"/>
  <c r="AG187" i="9"/>
  <c r="AG190" i="9"/>
  <c r="AG193" i="9"/>
  <c r="AG196" i="9"/>
  <c r="AG199" i="9"/>
  <c r="AG202" i="9"/>
  <c r="AG205" i="9"/>
  <c r="AG208" i="9"/>
  <c r="AG211" i="9"/>
  <c r="AG214" i="9"/>
  <c r="AG217" i="9"/>
  <c r="AG220" i="9"/>
  <c r="AG223" i="9"/>
  <c r="AG226" i="9"/>
  <c r="AG229" i="9"/>
  <c r="AG232" i="9"/>
  <c r="AG235" i="9"/>
  <c r="AG238" i="9"/>
  <c r="AG241" i="9"/>
  <c r="AG244" i="9"/>
  <c r="AG247" i="9"/>
  <c r="AG250" i="9"/>
  <c r="AG253" i="9"/>
  <c r="AG256" i="9"/>
  <c r="AG259" i="9"/>
  <c r="AG262" i="9"/>
  <c r="AG265" i="9"/>
  <c r="AG268" i="9"/>
  <c r="AG271" i="9"/>
  <c r="AG274" i="9"/>
  <c r="AG277" i="9"/>
  <c r="AG280" i="9"/>
  <c r="AG283" i="9"/>
  <c r="AG286" i="9"/>
  <c r="AG289" i="9"/>
  <c r="AG292" i="9"/>
  <c r="AG295" i="9"/>
  <c r="AG298" i="9"/>
  <c r="AG301" i="9"/>
  <c r="AG304" i="9"/>
  <c r="AG307" i="9"/>
  <c r="AG310" i="9"/>
  <c r="AG313" i="9"/>
  <c r="AG22" i="9"/>
  <c r="AG25" i="9"/>
  <c r="AG28" i="9"/>
  <c r="AG31" i="9"/>
  <c r="AG34" i="9"/>
  <c r="AG37" i="9"/>
  <c r="AG40" i="9"/>
  <c r="AG43" i="9"/>
  <c r="AG46" i="9"/>
  <c r="AG49" i="9"/>
  <c r="AG52" i="9"/>
  <c r="AG19" i="9"/>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O40" i="83"/>
  <c r="AQ40" i="83"/>
  <c r="AS40" i="83"/>
  <c r="AO44" i="83"/>
  <c r="AQ44" i="83"/>
  <c r="AS44" i="83"/>
  <c r="AO48" i="83"/>
  <c r="AQ48" i="83"/>
  <c r="AS48" i="83"/>
  <c r="AO52" i="83"/>
  <c r="AQ52" i="83"/>
  <c r="AS52" i="83"/>
  <c r="AO56" i="83"/>
  <c r="AQ56" i="83"/>
  <c r="AS56" i="83"/>
  <c r="AO60" i="83"/>
  <c r="AQ60" i="83"/>
  <c r="AS60" i="83"/>
  <c r="AO64" i="83"/>
  <c r="AQ64" i="83"/>
  <c r="AS64" i="83"/>
  <c r="AO68" i="83"/>
  <c r="AQ68" i="83"/>
  <c r="AS68" i="83"/>
  <c r="AO72" i="83"/>
  <c r="AQ72" i="83"/>
  <c r="AS72" i="83"/>
  <c r="AO76" i="83"/>
  <c r="AQ76" i="83"/>
  <c r="AS76" i="83"/>
  <c r="AO80" i="83"/>
  <c r="AQ80" i="83"/>
  <c r="AS80" i="83"/>
  <c r="AO84" i="83"/>
  <c r="AQ84" i="83"/>
  <c r="AS84" i="83"/>
  <c r="AO88" i="83"/>
  <c r="AQ88" i="83"/>
  <c r="AS88" i="83"/>
  <c r="AO92" i="83"/>
  <c r="AQ92" i="83"/>
  <c r="AS92" i="83"/>
  <c r="AO96" i="83"/>
  <c r="AQ96" i="83"/>
  <c r="AS96" i="83"/>
  <c r="AO100" i="83"/>
  <c r="AQ100" i="83"/>
  <c r="AS100" i="83"/>
  <c r="AO104" i="83"/>
  <c r="AQ104" i="83"/>
  <c r="AS104" i="83"/>
  <c r="AO108" i="83"/>
  <c r="AQ108" i="83"/>
  <c r="AS108" i="83"/>
  <c r="AO112" i="83"/>
  <c r="AQ112" i="83"/>
  <c r="AS112" i="83"/>
  <c r="AO116" i="83"/>
  <c r="AQ116" i="83"/>
  <c r="AS116" i="83"/>
  <c r="AO120" i="83"/>
  <c r="AQ120" i="83"/>
  <c r="AS120" i="83"/>
  <c r="AO124" i="83"/>
  <c r="AQ124" i="83"/>
  <c r="AS124" i="83"/>
  <c r="AO128" i="83"/>
  <c r="AQ128" i="83"/>
  <c r="AS128" i="83"/>
  <c r="AO132" i="83"/>
  <c r="AQ132" i="83"/>
  <c r="AS132" i="83"/>
  <c r="AO136" i="83"/>
  <c r="AQ136" i="83"/>
  <c r="AS136" i="83"/>
  <c r="AO140" i="83"/>
  <c r="AQ140" i="83"/>
  <c r="AS140" i="83"/>
  <c r="AO144" i="83"/>
  <c r="AQ144" i="83"/>
  <c r="AS144" i="83"/>
  <c r="AO148" i="83"/>
  <c r="AQ148" i="83"/>
  <c r="AS148" i="83"/>
  <c r="AO152" i="83"/>
  <c r="AQ152" i="83"/>
  <c r="AS152" i="83"/>
  <c r="AO156" i="83"/>
  <c r="AQ156" i="83"/>
  <c r="AS156" i="83"/>
  <c r="AO160" i="83"/>
  <c r="AQ160" i="83"/>
  <c r="AS160" i="83"/>
  <c r="AO164" i="83"/>
  <c r="AQ164" i="83"/>
  <c r="AS164" i="83"/>
  <c r="AO168" i="83"/>
  <c r="AQ168" i="83"/>
  <c r="AS168" i="83"/>
  <c r="AO172" i="83"/>
  <c r="AQ172" i="83"/>
  <c r="AS172" i="83"/>
  <c r="AO176" i="83"/>
  <c r="AQ176" i="83"/>
  <c r="AS176" i="83"/>
  <c r="AO180" i="83"/>
  <c r="AQ180" i="83"/>
  <c r="AS180" i="83"/>
  <c r="AO184" i="83"/>
  <c r="AQ184" i="83"/>
  <c r="AS184" i="83"/>
  <c r="AO188" i="83"/>
  <c r="AQ188" i="83"/>
  <c r="AS188" i="83"/>
  <c r="AO192" i="83"/>
  <c r="AQ192" i="83"/>
  <c r="AS192" i="83"/>
  <c r="AO196" i="83"/>
  <c r="AQ196" i="83"/>
  <c r="AS196" i="83"/>
  <c r="AO200" i="83"/>
  <c r="AQ200" i="83"/>
  <c r="AS200" i="83"/>
  <c r="AO204" i="83"/>
  <c r="AQ204" i="83"/>
  <c r="AS204" i="83"/>
  <c r="AO208" i="83"/>
  <c r="AQ208" i="83"/>
  <c r="AS208" i="83"/>
  <c r="AO212" i="83"/>
  <c r="AQ212" i="83"/>
  <c r="AS212" i="83"/>
  <c r="AO216" i="83"/>
  <c r="AQ216" i="83"/>
  <c r="AS216" i="83"/>
  <c r="AO220" i="83"/>
  <c r="AQ220" i="83"/>
  <c r="AS220" i="83"/>
  <c r="AO224" i="83"/>
  <c r="AQ224" i="83"/>
  <c r="AS224" i="83"/>
  <c r="AO228" i="83"/>
  <c r="AQ228" i="83"/>
  <c r="AS228" i="83"/>
  <c r="AO232" i="83"/>
  <c r="AQ232" i="83"/>
  <c r="AS232" i="83"/>
  <c r="AO236" i="83"/>
  <c r="AQ236" i="83"/>
  <c r="AS236" i="83"/>
  <c r="AO240" i="83"/>
  <c r="AQ240" i="83"/>
  <c r="AS240" i="83"/>
  <c r="AO244" i="83"/>
  <c r="AQ244" i="83"/>
  <c r="AS244" i="83"/>
  <c r="AO248" i="83"/>
  <c r="AQ248" i="83"/>
  <c r="AS248" i="83"/>
  <c r="AO252" i="83"/>
  <c r="AQ252" i="83"/>
  <c r="AS252" i="83"/>
  <c r="AO256" i="83"/>
  <c r="AQ256" i="83"/>
  <c r="AS256" i="83"/>
  <c r="AO260" i="83"/>
  <c r="AQ260" i="83"/>
  <c r="AS260" i="83"/>
  <c r="AO264" i="83"/>
  <c r="AQ264" i="83"/>
  <c r="AS264" i="83"/>
  <c r="AO268" i="83"/>
  <c r="AQ268" i="83"/>
  <c r="AS268" i="83"/>
  <c r="AO272" i="83"/>
  <c r="AQ272" i="83"/>
  <c r="AS272" i="83"/>
  <c r="AO276" i="83"/>
  <c r="AQ276" i="83"/>
  <c r="AS276" i="83"/>
  <c r="AO280" i="83"/>
  <c r="AQ280" i="83"/>
  <c r="AS280" i="83"/>
  <c r="AO284" i="83"/>
  <c r="AQ284" i="83"/>
  <c r="AS284" i="83"/>
  <c r="AO288" i="83"/>
  <c r="AQ288" i="83"/>
  <c r="AS288" i="83"/>
  <c r="AO292" i="83"/>
  <c r="AQ292" i="83"/>
  <c r="AS292" i="83"/>
  <c r="AO296" i="83"/>
  <c r="AQ296" i="83"/>
  <c r="AS296" i="83"/>
  <c r="AO300" i="83"/>
  <c r="AQ300" i="83"/>
  <c r="AS300" i="83"/>
  <c r="AO304" i="83"/>
  <c r="AQ304" i="83"/>
  <c r="AS304" i="83"/>
  <c r="AO308" i="83"/>
  <c r="AQ308" i="83"/>
  <c r="AS308" i="83"/>
  <c r="AO312" i="83"/>
  <c r="AQ312" i="83"/>
  <c r="AS312" i="83"/>
  <c r="AO316" i="83"/>
  <c r="AQ316" i="83"/>
  <c r="AS316" i="83"/>
  <c r="AO320" i="83"/>
  <c r="AQ320" i="83"/>
  <c r="AS320" i="83"/>
  <c r="AO324" i="83"/>
  <c r="AQ324" i="83"/>
  <c r="AS324" i="83"/>
  <c r="AO328" i="83"/>
  <c r="AQ328" i="83"/>
  <c r="AS328" i="83"/>
  <c r="AO332" i="83"/>
  <c r="AQ332" i="83"/>
  <c r="AS332" i="83"/>
  <c r="AO336" i="83"/>
  <c r="AQ336" i="83"/>
  <c r="AS336" i="83"/>
  <c r="AO340" i="83"/>
  <c r="AQ340" i="83"/>
  <c r="AS340" i="83"/>
  <c r="AO344" i="83"/>
  <c r="AQ344" i="83"/>
  <c r="AS344" i="83"/>
  <c r="AO348" i="83"/>
  <c r="AQ348" i="83"/>
  <c r="AS348" i="83"/>
  <c r="AO352" i="83"/>
  <c r="AQ352" i="83"/>
  <c r="AS352" i="83"/>
  <c r="AO356" i="83"/>
  <c r="AQ356" i="83"/>
  <c r="AS356" i="83"/>
  <c r="AO360" i="83"/>
  <c r="AQ360" i="83"/>
  <c r="AS360" i="83"/>
  <c r="AO364" i="83"/>
  <c r="AQ364" i="83"/>
  <c r="AS364" i="83"/>
  <c r="AO368" i="83"/>
  <c r="AQ368" i="83"/>
  <c r="AS368" i="83"/>
  <c r="AO372" i="83"/>
  <c r="AQ372" i="83"/>
  <c r="AS372" i="83"/>
  <c r="AO376" i="83"/>
  <c r="AQ376" i="83"/>
  <c r="AS376" i="83"/>
  <c r="AO380" i="83"/>
  <c r="AQ380" i="83"/>
  <c r="AS380" i="83"/>
  <c r="AO384" i="83"/>
  <c r="AQ384" i="83"/>
  <c r="AS384" i="83"/>
  <c r="AO388" i="83"/>
  <c r="AQ388" i="83"/>
  <c r="AS388" i="83"/>
  <c r="AO392" i="83"/>
  <c r="AQ392" i="83"/>
  <c r="AS392" i="83"/>
  <c r="AO396" i="83"/>
  <c r="AQ396" i="83"/>
  <c r="AS396" i="83"/>
  <c r="AO400" i="83"/>
  <c r="AQ400" i="83"/>
  <c r="AS400" i="83"/>
  <c r="AO404" i="83"/>
  <c r="AQ404" i="83"/>
  <c r="AS404" i="83"/>
  <c r="AO408" i="83"/>
  <c r="AQ408" i="83"/>
  <c r="AS408" i="83"/>
  <c r="AO412" i="83"/>
  <c r="AQ412" i="83"/>
  <c r="AS412" i="83"/>
  <c r="AG34" i="83"/>
  <c r="AG36" i="83"/>
  <c r="AO36" i="83"/>
  <c r="AQ36" i="83"/>
  <c r="AS36" i="83"/>
  <c r="AS24" i="83" l="1"/>
  <c r="AS32" i="83"/>
  <c r="AQ32" i="83"/>
  <c r="AO32" i="83"/>
  <c r="AL32" i="83"/>
  <c r="AS28" i="83" l="1"/>
  <c r="AQ28" i="83"/>
  <c r="AO28" i="83"/>
  <c r="AL28" i="83"/>
  <c r="AQ24" i="83"/>
  <c r="AO24" i="83"/>
  <c r="AL24" i="83"/>
  <c r="AQ20" i="83"/>
  <c r="AO20" i="83"/>
  <c r="AL20" i="83"/>
  <c r="AR16" i="83"/>
  <c r="AQ16" i="83"/>
  <c r="AO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X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T411" i="90" l="1"/>
  <c r="AT379" i="90"/>
  <c r="AT346" i="90"/>
  <c r="AT317" i="90"/>
  <c r="AT382" i="90"/>
  <c r="AT350" i="90"/>
  <c r="AT378" i="90"/>
  <c r="AG230" i="90"/>
  <c r="AG354" i="90"/>
  <c r="AG342" i="90"/>
  <c r="AG402" i="90"/>
  <c r="AG370" i="90"/>
  <c r="AG146" i="90"/>
  <c r="AG82" i="90"/>
  <c r="AG50" i="90"/>
  <c r="AG62" i="90"/>
  <c r="AG4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G190" i="90"/>
  <c r="AG262" i="90"/>
  <c r="AG310" i="90"/>
  <c r="AG274" i="90"/>
  <c r="AG186" i="90"/>
  <c r="AG94" i="90"/>
  <c r="AG406" i="90"/>
  <c r="AG158" i="90"/>
  <c r="AG366" i="90"/>
  <c r="AG334" i="90"/>
  <c r="AG290" i="90"/>
  <c r="AG250" i="90"/>
  <c r="AG382" i="90"/>
  <c r="AG390" i="90"/>
  <c r="AG358" i="90"/>
  <c r="AG278" i="90"/>
  <c r="AG210" i="90"/>
  <c r="AG178" i="90"/>
  <c r="AG46" i="90"/>
  <c r="AG258" i="90"/>
  <c r="AG374" i="90"/>
  <c r="AG306" i="90"/>
  <c r="AG410" i="90"/>
  <c r="AG362" i="90"/>
  <c r="AG330" i="90"/>
  <c r="AG326" i="90"/>
  <c r="AG302" i="90"/>
  <c r="AG222" i="90"/>
  <c r="AG350" i="90"/>
  <c r="AG294" i="90"/>
  <c r="AG286" i="90"/>
  <c r="AG218" i="90"/>
  <c r="AG150" i="90"/>
  <c r="AG122" i="90"/>
  <c r="AG386" i="90"/>
  <c r="AG130" i="90"/>
  <c r="AG86" i="90"/>
  <c r="AG58" i="90"/>
  <c r="AG398" i="90"/>
  <c r="AG346" i="90"/>
  <c r="AG238" i="90"/>
  <c r="AG206" i="90"/>
  <c r="AG174" i="90"/>
  <c r="AG110" i="90"/>
  <c r="AG394" i="90"/>
  <c r="AG234" i="90"/>
  <c r="AG318" i="90"/>
  <c r="AG246" i="90"/>
  <c r="AG242" i="90"/>
  <c r="AG118" i="90"/>
  <c r="AG114" i="90"/>
  <c r="AG202" i="90"/>
  <c r="AG142" i="90"/>
  <c r="AG314" i="90"/>
  <c r="AG214" i="90"/>
  <c r="AG134" i="90"/>
  <c r="AG54" i="90"/>
  <c r="AG226" i="90"/>
  <c r="AG98" i="90"/>
  <c r="AG78" i="90"/>
  <c r="AG66" i="90"/>
  <c r="AG254" i="90"/>
  <c r="AG194" i="90"/>
  <c r="AG182" i="90"/>
  <c r="AG162" i="90"/>
  <c r="AG126" i="90"/>
  <c r="AG70" i="90"/>
  <c r="AG198" i="90"/>
  <c r="AG106" i="90"/>
  <c r="AG270" i="90"/>
  <c r="AG7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1" i="90" l="1"/>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BF26" i="83" s="1"/>
  <c r="AK52" i="83"/>
  <c r="AK50" i="83"/>
  <c r="AM58" i="83"/>
  <c r="AM60" i="83"/>
  <c r="AK84" i="83"/>
  <c r="AK82" i="83"/>
  <c r="AM90" i="83"/>
  <c r="AM92" i="83"/>
  <c r="AK116" i="83"/>
  <c r="AK114" i="83"/>
  <c r="AM122" i="83"/>
  <c r="AM124" i="83"/>
  <c r="AK148" i="83"/>
  <c r="AK146" i="83"/>
  <c r="AM154" i="83"/>
  <c r="AM156" i="83"/>
  <c r="AK180" i="83"/>
  <c r="AK178" i="83"/>
  <c r="AM186" i="83"/>
  <c r="AM188" i="83"/>
  <c r="AK210" i="83"/>
  <c r="AK212" i="83"/>
  <c r="AM218" i="83"/>
  <c r="AM220" i="83"/>
  <c r="AK242" i="83"/>
  <c r="AK244" i="83"/>
  <c r="AM250" i="83"/>
  <c r="AM252" i="83"/>
  <c r="AK274" i="83"/>
  <c r="AK276" i="83"/>
  <c r="AM282" i="83"/>
  <c r="AM284" i="83"/>
  <c r="AK306" i="83"/>
  <c r="AK308" i="83"/>
  <c r="AM314" i="83"/>
  <c r="AM316" i="83"/>
  <c r="AK338" i="83"/>
  <c r="AK340" i="83"/>
  <c r="AM346" i="83"/>
  <c r="AM348" i="83"/>
  <c r="AK370" i="83"/>
  <c r="AK372" i="83"/>
  <c r="AM378" i="83"/>
  <c r="AM380" i="83"/>
  <c r="AK402" i="83"/>
  <c r="AK404" i="83"/>
  <c r="AM410" i="83"/>
  <c r="AM412" i="83"/>
  <c r="AK32" i="83"/>
  <c r="AK30" i="83"/>
  <c r="AK64" i="83"/>
  <c r="AK62" i="83"/>
  <c r="AM70" i="83"/>
  <c r="AM72" i="83"/>
  <c r="AK96" i="83"/>
  <c r="AK94" i="83"/>
  <c r="AM102" i="83"/>
  <c r="AM104" i="83"/>
  <c r="AK128" i="83"/>
  <c r="AK126" i="83"/>
  <c r="AM134" i="83"/>
  <c r="AM136" i="83"/>
  <c r="AK160" i="83"/>
  <c r="AK158" i="83"/>
  <c r="AM166" i="83"/>
  <c r="AM168" i="83"/>
  <c r="AK192" i="83"/>
  <c r="AK190" i="83"/>
  <c r="AM200" i="83"/>
  <c r="AM198" i="83"/>
  <c r="AK224" i="83"/>
  <c r="AK222" i="83"/>
  <c r="AM232" i="83"/>
  <c r="AM230" i="83"/>
  <c r="AK256" i="83"/>
  <c r="AK254" i="83"/>
  <c r="AM264" i="83"/>
  <c r="AM262" i="83"/>
  <c r="AK288" i="83"/>
  <c r="AK286" i="83"/>
  <c r="AM296" i="83"/>
  <c r="AM294" i="83"/>
  <c r="AK318" i="83"/>
  <c r="AK320" i="83"/>
  <c r="AM328" i="83"/>
  <c r="AM326" i="83"/>
  <c r="AK350" i="83"/>
  <c r="AK352" i="83"/>
  <c r="AM360" i="83"/>
  <c r="AM358" i="83"/>
  <c r="AK382" i="83"/>
  <c r="AK384" i="83"/>
  <c r="AM390" i="83"/>
  <c r="AM392" i="83"/>
  <c r="AM18" i="83"/>
  <c r="BF18" i="83" s="1"/>
  <c r="AM20" i="83"/>
  <c r="AK42" i="83"/>
  <c r="AK44" i="83"/>
  <c r="AM50" i="83"/>
  <c r="AM52" i="83"/>
  <c r="AK74" i="83"/>
  <c r="AK76" i="83"/>
  <c r="AM82" i="83"/>
  <c r="AM84" i="83"/>
  <c r="AK106" i="83"/>
  <c r="AK108" i="83"/>
  <c r="AM114" i="83"/>
  <c r="AM116" i="83"/>
  <c r="AK138" i="83"/>
  <c r="AK140" i="83"/>
  <c r="AM146" i="83"/>
  <c r="AM148" i="83"/>
  <c r="AK170" i="83"/>
  <c r="AK172" i="83"/>
  <c r="AM178" i="83"/>
  <c r="AM180" i="83"/>
  <c r="AK204" i="83"/>
  <c r="AK202" i="83"/>
  <c r="AM210" i="83"/>
  <c r="AM212" i="83"/>
  <c r="AK236" i="83"/>
  <c r="AK234" i="83"/>
  <c r="AM242" i="83"/>
  <c r="AM244" i="83"/>
  <c r="AK268" i="83"/>
  <c r="AK266" i="83"/>
  <c r="AM276" i="83"/>
  <c r="AM274" i="83"/>
  <c r="AK300" i="83"/>
  <c r="AK298" i="83"/>
  <c r="AM306" i="83"/>
  <c r="AM308" i="83"/>
  <c r="AK332" i="83"/>
  <c r="AK330" i="83"/>
  <c r="AM340" i="83"/>
  <c r="AM338" i="83"/>
  <c r="AK364" i="83"/>
  <c r="AK362" i="83"/>
  <c r="AM372" i="83"/>
  <c r="AM370" i="83"/>
  <c r="AK396" i="83"/>
  <c r="AK394" i="83"/>
  <c r="AM404" i="83"/>
  <c r="AM402" i="83"/>
  <c r="AM30" i="83"/>
  <c r="BF30" i="83" s="1"/>
  <c r="AM32" i="83"/>
  <c r="AK54" i="83"/>
  <c r="AK56" i="83"/>
  <c r="AM64" i="83"/>
  <c r="AM62" i="83"/>
  <c r="AK86" i="83"/>
  <c r="AK88" i="83"/>
  <c r="AM96" i="83"/>
  <c r="AM94" i="83"/>
  <c r="AK118" i="83"/>
  <c r="AK120" i="83"/>
  <c r="AM128" i="83"/>
  <c r="AM126" i="83"/>
  <c r="AK150" i="83"/>
  <c r="AK152" i="83"/>
  <c r="AM160" i="83"/>
  <c r="AM158" i="83"/>
  <c r="AK182" i="83"/>
  <c r="AK184" i="83"/>
  <c r="AM192" i="83"/>
  <c r="AM190" i="83"/>
  <c r="AK214" i="83"/>
  <c r="AK216" i="83"/>
  <c r="AM224" i="83"/>
  <c r="AM222" i="83"/>
  <c r="AK246" i="83"/>
  <c r="AK248" i="83"/>
  <c r="AM256" i="83"/>
  <c r="AM254" i="83"/>
  <c r="AK278" i="83"/>
  <c r="AK280" i="83"/>
  <c r="AM288" i="83"/>
  <c r="AM286" i="83"/>
  <c r="AK310" i="83"/>
  <c r="AK312" i="83"/>
  <c r="AM320" i="83"/>
  <c r="AM318" i="83"/>
  <c r="AK342" i="83"/>
  <c r="AK344" i="83"/>
  <c r="AM352" i="83"/>
  <c r="AM350" i="83"/>
  <c r="AK374" i="83"/>
  <c r="AK376" i="83"/>
  <c r="AM384" i="83"/>
  <c r="AM382" i="83"/>
  <c r="AK408" i="83"/>
  <c r="AK406" i="83"/>
  <c r="AM44" i="83"/>
  <c r="AM42" i="83"/>
  <c r="AK66" i="83"/>
  <c r="AK68" i="83"/>
  <c r="AM76" i="83"/>
  <c r="AM74" i="83"/>
  <c r="AK98" i="83"/>
  <c r="AK100" i="83"/>
  <c r="AM108" i="83"/>
  <c r="AM106" i="83"/>
  <c r="AK130" i="83"/>
  <c r="AK132" i="83"/>
  <c r="AM140" i="83"/>
  <c r="AM138" i="83"/>
  <c r="AK162" i="83"/>
  <c r="AK164" i="83"/>
  <c r="AM172" i="83"/>
  <c r="AM170" i="83"/>
  <c r="AK194" i="83"/>
  <c r="AK196" i="83"/>
  <c r="AM202" i="83"/>
  <c r="AM204" i="83"/>
  <c r="AK226" i="83"/>
  <c r="AK228" i="83"/>
  <c r="AM234" i="83"/>
  <c r="AM236" i="83"/>
  <c r="AK258" i="83"/>
  <c r="AK260" i="83"/>
  <c r="AM266" i="83"/>
  <c r="AM268" i="83"/>
  <c r="AK290" i="83"/>
  <c r="AK292" i="83"/>
  <c r="AM298" i="83"/>
  <c r="AM300" i="83"/>
  <c r="AK322" i="83"/>
  <c r="AK324" i="83"/>
  <c r="AM330" i="83"/>
  <c r="AM332" i="83"/>
  <c r="AK354" i="83"/>
  <c r="AK356" i="83"/>
  <c r="AM362" i="83"/>
  <c r="AM364" i="83"/>
  <c r="AK386" i="83"/>
  <c r="AK388" i="83"/>
  <c r="AM394" i="83"/>
  <c r="AM396" i="83"/>
  <c r="AM22" i="83"/>
  <c r="BF22" i="83" s="1"/>
  <c r="AM24" i="83"/>
  <c r="AK46" i="83"/>
  <c r="AK48" i="83"/>
  <c r="AM56" i="83"/>
  <c r="AM54" i="83"/>
  <c r="AK78" i="83"/>
  <c r="AK80" i="83"/>
  <c r="AM88" i="83"/>
  <c r="AM86" i="83"/>
  <c r="AK110" i="83"/>
  <c r="AK112" i="83"/>
  <c r="AM120" i="83"/>
  <c r="AM118" i="83"/>
  <c r="AK142" i="83"/>
  <c r="AK144" i="83"/>
  <c r="AM152" i="83"/>
  <c r="AM150" i="83"/>
  <c r="AK174" i="83"/>
  <c r="AK176" i="83"/>
  <c r="AM184" i="83"/>
  <c r="AM182" i="83"/>
  <c r="AK206" i="83"/>
  <c r="AK208" i="83"/>
  <c r="AM216" i="83"/>
  <c r="AM214" i="83"/>
  <c r="AK238" i="83"/>
  <c r="AK240" i="83"/>
  <c r="AM248" i="83"/>
  <c r="AM246" i="83"/>
  <c r="AK270" i="83"/>
  <c r="AK272" i="83"/>
  <c r="AM280" i="83"/>
  <c r="AM278" i="83"/>
  <c r="AK302" i="83"/>
  <c r="AK304" i="83"/>
  <c r="AM310" i="83"/>
  <c r="AM312" i="83"/>
  <c r="AK334" i="83"/>
  <c r="AK336" i="83"/>
  <c r="AM342" i="83"/>
  <c r="AM344" i="83"/>
  <c r="AK366" i="83"/>
  <c r="AK368" i="83"/>
  <c r="AM374" i="83"/>
  <c r="AM376" i="83"/>
  <c r="AK398" i="83"/>
  <c r="AK400" i="83"/>
  <c r="AM406" i="83"/>
  <c r="AM408" i="83"/>
  <c r="AY38" i="83"/>
  <c r="BJ38" i="83"/>
  <c r="AM36" i="83"/>
  <c r="AK58" i="83"/>
  <c r="AK60" i="83"/>
  <c r="AM66" i="83"/>
  <c r="AM68" i="83"/>
  <c r="AK90" i="83"/>
  <c r="AK92" i="83"/>
  <c r="AM98" i="83"/>
  <c r="AM100" i="83"/>
  <c r="AK122" i="83"/>
  <c r="AK124" i="83"/>
  <c r="AM130" i="83"/>
  <c r="AM132" i="83"/>
  <c r="AK154" i="83"/>
  <c r="AK156" i="83"/>
  <c r="AM162" i="83"/>
  <c r="AM164" i="83"/>
  <c r="AK186" i="83"/>
  <c r="AK188" i="83"/>
  <c r="AM194" i="83"/>
  <c r="AM196" i="83"/>
  <c r="AK220" i="83"/>
  <c r="AK218" i="83"/>
  <c r="AM226" i="83"/>
  <c r="AM228" i="83"/>
  <c r="AK252" i="83"/>
  <c r="AK250" i="83"/>
  <c r="AM258" i="83"/>
  <c r="AM260" i="83"/>
  <c r="AK284" i="83"/>
  <c r="AK282" i="83"/>
  <c r="AM290" i="83"/>
  <c r="AM292" i="83"/>
  <c r="AK316" i="83"/>
  <c r="AK314" i="83"/>
  <c r="AM322" i="83"/>
  <c r="AM324" i="83"/>
  <c r="AK348" i="83"/>
  <c r="AK346" i="83"/>
  <c r="AM354" i="83"/>
  <c r="AM356" i="83"/>
  <c r="AK380" i="83"/>
  <c r="AK378" i="83"/>
  <c r="AM388" i="83"/>
  <c r="AM386" i="83"/>
  <c r="AK412" i="83"/>
  <c r="AK410" i="83"/>
  <c r="AM16" i="83"/>
  <c r="AM14" i="83"/>
  <c r="BF14" i="83" s="1"/>
  <c r="AM46" i="83"/>
  <c r="AM48" i="83"/>
  <c r="AK70" i="83"/>
  <c r="AK72" i="83"/>
  <c r="AM78" i="83"/>
  <c r="AM80" i="83"/>
  <c r="AK102" i="83"/>
  <c r="AK104" i="83"/>
  <c r="AM110" i="83"/>
  <c r="AM112" i="83"/>
  <c r="AK134" i="83"/>
  <c r="AK136" i="83"/>
  <c r="AM142" i="83"/>
  <c r="AM144" i="83"/>
  <c r="AK166" i="83"/>
  <c r="AK168" i="83"/>
  <c r="AM174" i="83"/>
  <c r="AM176" i="83"/>
  <c r="AK198" i="83"/>
  <c r="AK200" i="83"/>
  <c r="AM206" i="83"/>
  <c r="AM208" i="83"/>
  <c r="AK230" i="83"/>
  <c r="AK232" i="83"/>
  <c r="AM238" i="83"/>
  <c r="AM240" i="83"/>
  <c r="AK262" i="83"/>
  <c r="AK264" i="83"/>
  <c r="AM270" i="83"/>
  <c r="AM272" i="83"/>
  <c r="AK296" i="83"/>
  <c r="AK294" i="83"/>
  <c r="AM302" i="83"/>
  <c r="AM304" i="83"/>
  <c r="AK328" i="83"/>
  <c r="AK326" i="83"/>
  <c r="AM334" i="83"/>
  <c r="AM336" i="83"/>
  <c r="AK360" i="83"/>
  <c r="AK358" i="83"/>
  <c r="AM366" i="83"/>
  <c r="AM368" i="83"/>
  <c r="AK392" i="83"/>
  <c r="AK390" i="83"/>
  <c r="AM398" i="83"/>
  <c r="AM400" i="83"/>
  <c r="AQ11" i="90"/>
  <c r="AP11" i="90"/>
  <c r="AO11" i="90"/>
  <c r="V28" i="83"/>
  <c r="BJ26" i="83"/>
  <c r="AY22" i="83"/>
  <c r="BJ22" i="83"/>
  <c r="V14" i="83"/>
  <c r="BJ14" i="83"/>
  <c r="AG14" i="90"/>
  <c r="AT17" i="90"/>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2"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AX122" i="90"/>
  <c r="AX122" i="83"/>
  <c r="AX46" i="90"/>
  <c r="AX46" i="83"/>
  <c r="AX150" i="90"/>
  <c r="AX150" i="83"/>
  <c r="AX114" i="90"/>
  <c r="AX114" i="83"/>
  <c r="AX138" i="90"/>
  <c r="AX138" i="83"/>
  <c r="AX70" i="90"/>
  <c r="AX70" i="83"/>
  <c r="AX118" i="90"/>
  <c r="AX118" i="83"/>
  <c r="AX62" i="90"/>
  <c r="AX62" i="83"/>
  <c r="AX86" i="90"/>
  <c r="AX86" i="83"/>
  <c r="AX130" i="90"/>
  <c r="AX130" i="83"/>
  <c r="AX154" i="90"/>
  <c r="AX154" i="83"/>
  <c r="AX102" i="90"/>
  <c r="AX102" i="83"/>
  <c r="AX78" i="90"/>
  <c r="AX78" i="83"/>
  <c r="AX142" i="90"/>
  <c r="AX142" i="83"/>
  <c r="AX50" i="90"/>
  <c r="AX50" i="83"/>
  <c r="AX146" i="90"/>
  <c r="AX146" i="83"/>
  <c r="AX134" i="90"/>
  <c r="AX134" i="83"/>
  <c r="AX42" i="90"/>
  <c r="AX42" i="83"/>
  <c r="AX98" i="90"/>
  <c r="AX98" i="83"/>
  <c r="AX82" i="90"/>
  <c r="AX82" i="83"/>
  <c r="AX110" i="90"/>
  <c r="AX110" i="83"/>
  <c r="AX158" i="90"/>
  <c r="AX158" i="83"/>
  <c r="AX66" i="90"/>
  <c r="AX66" i="83"/>
  <c r="AX74" i="90"/>
  <c r="AX74" i="83"/>
  <c r="AX106" i="90"/>
  <c r="AX106" i="83"/>
  <c r="AX162" i="90"/>
  <c r="AX162" i="83"/>
  <c r="AX94" i="90"/>
  <c r="AX94" i="83"/>
  <c r="AX58" i="90"/>
  <c r="AX58" i="83"/>
  <c r="AX54" i="90"/>
  <c r="AX54" i="83"/>
  <c r="AX126" i="90"/>
  <c r="AX126" i="83"/>
  <c r="AX90" i="90"/>
  <c r="AX90" i="83"/>
  <c r="AX382" i="90"/>
  <c r="AX382" i="83"/>
  <c r="AX330" i="83"/>
  <c r="AX330" i="90"/>
  <c r="AX378" i="83"/>
  <c r="AX378" i="90"/>
  <c r="AX326" i="90"/>
  <c r="AX326" i="83"/>
  <c r="AX406" i="90"/>
  <c r="AX406" i="83"/>
  <c r="AX314" i="83"/>
  <c r="AX314" i="90"/>
  <c r="AX370" i="83"/>
  <c r="AX370" i="90"/>
  <c r="AX394" i="83"/>
  <c r="AX394" i="90"/>
  <c r="AX302" i="90"/>
  <c r="AX302" i="83"/>
  <c r="AX342" i="90"/>
  <c r="AX342" i="83"/>
  <c r="AX374" i="90"/>
  <c r="AX374" i="83"/>
  <c r="AX306" i="83"/>
  <c r="AX306" i="90"/>
  <c r="AX346" i="83"/>
  <c r="AX346" i="90"/>
  <c r="AX358" i="90"/>
  <c r="AX358" i="83"/>
  <c r="AX338" i="83"/>
  <c r="AX338" i="90"/>
  <c r="AX386" i="83"/>
  <c r="AX386" i="90"/>
  <c r="AX410" i="83"/>
  <c r="AX410" i="90"/>
  <c r="AX318" i="90"/>
  <c r="AX318" i="83"/>
  <c r="AX398" i="90"/>
  <c r="AX398" i="83"/>
  <c r="AX322" i="83"/>
  <c r="AX322" i="90"/>
  <c r="AX402" i="83"/>
  <c r="AX402" i="90"/>
  <c r="AX334" i="90"/>
  <c r="AX334" i="83"/>
  <c r="AX390" i="90"/>
  <c r="AX390" i="83"/>
  <c r="AX354" i="83"/>
  <c r="AX354" i="90"/>
  <c r="AX310" i="90"/>
  <c r="AX310" i="83"/>
  <c r="AX366" i="90"/>
  <c r="AX366" i="83"/>
  <c r="AX362" i="83"/>
  <c r="AX362" i="90"/>
  <c r="AX350" i="90"/>
  <c r="AX350" i="83"/>
  <c r="AX298" i="83"/>
  <c r="AX298" i="90"/>
  <c r="AX258" i="90"/>
  <c r="AX258" i="83"/>
  <c r="AX214" i="90"/>
  <c r="AX214" i="83"/>
  <c r="AX262" i="90"/>
  <c r="AX262" i="83"/>
  <c r="AX186" i="90"/>
  <c r="AX186" i="83"/>
  <c r="AX266" i="90"/>
  <c r="AX266" i="83"/>
  <c r="AX198" i="90"/>
  <c r="AX198" i="83"/>
  <c r="AX230" i="90"/>
  <c r="AX230" i="83"/>
  <c r="AX238" i="90"/>
  <c r="AX238" i="83"/>
  <c r="AX278" i="90"/>
  <c r="AX278" i="83"/>
  <c r="AX178" i="90"/>
  <c r="AX178" i="83"/>
  <c r="AX202" i="90"/>
  <c r="AX202" i="83"/>
  <c r="AX174" i="90"/>
  <c r="AX174" i="83"/>
  <c r="AX294" i="90"/>
  <c r="AX294" i="83"/>
  <c r="AX234" i="90"/>
  <c r="AX234" i="83"/>
  <c r="AX282" i="90"/>
  <c r="AX282" i="83"/>
  <c r="AX206" i="90"/>
  <c r="AX206" i="83"/>
  <c r="AX254" i="90"/>
  <c r="AX254" i="83"/>
  <c r="AX194" i="90"/>
  <c r="AX194" i="83"/>
  <c r="AX218" i="90"/>
  <c r="AX218" i="83"/>
  <c r="AX274" i="90"/>
  <c r="AX274" i="83"/>
  <c r="AX190" i="90"/>
  <c r="AX190" i="83"/>
  <c r="AX270" i="90"/>
  <c r="AX270" i="83"/>
  <c r="AX210" i="90"/>
  <c r="AX210" i="83"/>
  <c r="AX250" i="90"/>
  <c r="AX250" i="83"/>
  <c r="AX222" i="90"/>
  <c r="AX222" i="83"/>
  <c r="AX246" i="90"/>
  <c r="AX246" i="83"/>
  <c r="AX242" i="90"/>
  <c r="AX242" i="83"/>
  <c r="AX290" i="90"/>
  <c r="AX290" i="83"/>
  <c r="AX166" i="90"/>
  <c r="AX166" i="83"/>
  <c r="AX286" i="90"/>
  <c r="AX286" i="83"/>
  <c r="AX170" i="90"/>
  <c r="AX170" i="83"/>
  <c r="AX226" i="90"/>
  <c r="AX226" i="83"/>
  <c r="AX182" i="90"/>
  <c r="AX182"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K26" i="83"/>
  <c r="AK26" i="90" s="1"/>
  <c r="AK20" i="83"/>
  <c r="AK18" i="83"/>
  <c r="AK18" i="90" s="1"/>
  <c r="AM38" i="83"/>
  <c r="BF38" i="83" s="1"/>
  <c r="AK40" i="83"/>
  <c r="AK38" i="83"/>
  <c r="AK38" i="90" s="1"/>
  <c r="AK24" i="83"/>
  <c r="AK22" i="83"/>
  <c r="AK22" i="90" s="1"/>
  <c r="AK34" i="83"/>
  <c r="AK34" i="90" s="1"/>
  <c r="AM34" i="83"/>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X30" i="90"/>
  <c r="AJ32" i="90" s="1"/>
  <c r="AX30" i="83"/>
  <c r="AJ30" i="83" s="1"/>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X18" i="90"/>
  <c r="AJ20" i="90" s="1"/>
  <c r="AX18" i="83"/>
  <c r="AJ20" i="83" s="1"/>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X14" i="90"/>
  <c r="AJ16" i="90" s="1"/>
  <c r="AX14" i="83"/>
  <c r="AJ14" i="83" s="1"/>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X38" i="90"/>
  <c r="AJ40" i="90" s="1"/>
  <c r="AX38" i="83"/>
  <c r="AJ40" i="83" s="1"/>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X26" i="90"/>
  <c r="AJ28" i="90" s="1"/>
  <c r="AX26" i="83"/>
  <c r="AJ28" i="83" s="1"/>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X22" i="90"/>
  <c r="AJ24" i="90" s="1"/>
  <c r="AX22" i="83"/>
  <c r="AJ24" i="83" s="1"/>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X34" i="90"/>
  <c r="AJ36" i="90" s="1"/>
  <c r="AX34" i="83"/>
  <c r="AJ36" i="83" s="1"/>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AM34" i="90" l="1"/>
  <c r="BF34" i="83"/>
  <c r="L7" i="90"/>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T98" i="70"/>
  <c r="AK103" i="70" s="1"/>
  <c r="T60" i="70"/>
  <c r="AR7" i="9"/>
  <c r="AK217" i="70"/>
  <c r="AB68" i="70" l="1"/>
  <c r="AH68" i="70" s="1"/>
  <c r="S118" i="70"/>
  <c r="AK125" i="70" s="1"/>
  <c r="AZ6" i="83"/>
  <c r="BC6" i="83"/>
  <c r="AS7" i="9" l="1"/>
  <c r="AL11" i="9" l="1"/>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V90" i="70" l="1"/>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F28" i="9"/>
  <c r="AE24" i="9"/>
  <c r="AF24" i="9"/>
  <c r="AE19" i="9"/>
  <c r="AF19" i="9"/>
  <c r="AE25" i="9"/>
  <c r="AE30" i="9"/>
  <c r="AE33" i="9"/>
  <c r="AE22" i="9"/>
  <c r="AE18" i="9"/>
  <c r="AE32" i="9"/>
  <c r="AE26" i="9"/>
  <c r="AE17" i="9"/>
  <c r="AE29" i="9"/>
  <c r="AE23" i="9"/>
  <c r="AE20" i="9"/>
  <c r="K9" i="9" l="1"/>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G11" i="9" s="1"/>
  <c r="AK209" i="70"/>
  <c r="Q25" i="70"/>
  <c r="AK211" i="70" s="1"/>
  <c r="K8" i="9"/>
  <c r="K7" i="9"/>
  <c r="Q18" i="70" s="1"/>
  <c r="Q21" i="70" s="1"/>
  <c r="Y21" i="70" s="1"/>
  <c r="AK210" i="70" s="1"/>
  <c r="U79" i="70" l="1"/>
  <c r="AB79" i="70" s="1"/>
  <c r="AK218" i="70" s="1"/>
  <c r="S129" i="70" l="1"/>
  <c r="AM129" i="70" l="1"/>
  <c r="AK133" i="70" l="1"/>
  <c r="AK224" i="70" s="1"/>
  <c r="AK222" i="70" l="1"/>
  <c r="AK221" i="70"/>
</calcChain>
</file>

<file path=xl/sharedStrings.xml><?xml version="1.0" encoding="utf-8"?>
<sst xmlns="http://schemas.openxmlformats.org/spreadsheetml/2006/main" count="11395" uniqueCount="2405">
  <si>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</si>
  <si>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</si>
  <si>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</si>
  <si>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</si>
  <si>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</si>
  <si>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</si>
  <si>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</si>
  <si>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</si>
  <si>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</si>
  <si>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</si>
  <si>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</si>
  <si>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</si>
  <si>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</si>
  <si>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</si>
  <si>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</si>
  <si>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</si>
  <si>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</si>
  <si>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</si>
  <si>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</si>
  <si>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</si>
  <si>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</si>
  <si>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</si>
  <si>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</si>
  <si>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</si>
  <si>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</si>
  <si>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</si>
  <si>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</si>
  <si>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</si>
  <si>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</si>
  <si>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</si>
  <si>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</si>
  <si>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</si>
  <si>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</si>
  <si>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</si>
  <si>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</si>
  <si>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</si>
  <si>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</si>
  <si>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</si>
  <si>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</si>
  <si>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</si>
  <si>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</si>
  <si>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</si>
  <si>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</si>
  <si>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</si>
  <si>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</si>
  <si>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</si>
  <si>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</si>
  <si>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</si>
  <si>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</si>
  <si>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</si>
  <si>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</si>
  <si>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</si>
  <si>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</si>
  <si>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</si>
  <si>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</si>
  <si>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</si>
  <si>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</si>
  <si>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</si>
  <si>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</si>
  <si>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</si>
  <si>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</si>
  <si>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</si>
  <si>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</si>
  <si>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</si>
  <si>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</si>
  <si>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</si>
  <si>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</si>
  <si>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</si>
  <si>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</si>
  <si>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</si>
  <si>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</si>
  <si>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</si>
  <si>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</si>
  <si>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</si>
  <si>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</si>
  <si>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</si>
  <si>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</si>
  <si>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</si>
  <si>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</si>
  <si>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</si>
  <si>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</si>
  <si>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</si>
  <si>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</si>
  <si>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</si>
  <si>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</si>
  <si>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</si>
  <si>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</si>
  <si>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</si>
  <si>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</si>
  <si>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</si>
  <si>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</si>
  <si>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</si>
  <si>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</si>
  <si>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</si>
  <si>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</si>
  <si>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</si>
  <si>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</si>
  <si>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</si>
  <si>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</si>
  <si>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</si>
  <si>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</si>
  <si>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</si>
  <si>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</si>
  <si>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</si>
  <si>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</si>
  <si>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</si>
  <si>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</si>
  <si>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</si>
  <si>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</si>
  <si>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</si>
  <si>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</si>
  <si>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</si>
  <si>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</si>
  <si>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</si>
  <si>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</si>
  <si>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</si>
  <si>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</si>
  <si>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</si>
  <si>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</si>
  <si>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</si>
  <si>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</si>
  <si>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</si>
  <si>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</si>
  <si>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</si>
  <si>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</si>
  <si>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</si>
  <si>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</si>
  <si>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</si>
  <si>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</si>
  <si>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</si>
  <si>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</si>
  <si>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</si>
  <si>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</si>
  <si>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</si>
  <si>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</si>
  <si>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</si>
  <si>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</si>
  <si>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</si>
  <si>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</si>
  <si>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</si>
  <si>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</si>
  <si>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</si>
  <si>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</si>
  <si>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</si>
  <si>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</si>
  <si>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</si>
  <si>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</si>
  <si>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</si>
  <si>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</si>
  <si>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</si>
  <si>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</si>
  <si>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</si>
  <si>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</si>
  <si>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</si>
  <si>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</si>
  <si>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</si>
  <si>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</si>
  <si>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</si>
  <si>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</si>
  <si>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</si>
  <si>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</si>
  <si>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</si>
  <si>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</si>
  <si>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</si>
  <si>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</si>
  <si>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介護職員</t>
    <rPh sb="0" eb="2">
      <t>カイゴ</t>
    </rPh>
    <rPh sb="2" eb="4">
      <t>ショクイン</t>
    </rPh>
    <phoneticPr fontId="11"/>
  </si>
  <si>
    <t>←</t>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</si>
  <si>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</si>
  <si>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</si>
  <si>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（確認用）</t>
    <rPh sb="1" eb="4">
      <t>カクニンヨウ</t>
    </rPh>
    <phoneticPr fontId="11"/>
  </si>
  <si>
    <t>特定加算</t>
    <rPh sb="0" eb="2">
      <t>トクテイ</t>
    </rPh>
    <rPh sb="2" eb="4">
      <t>カサン</t>
    </rPh>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</si>
  <si>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</si>
  <si>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</si>
  <si>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</si>
  <si>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</si>
  <si>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</si>
  <si>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</si>
  <si>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</si>
  <si>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</si>
  <si>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</si>
  <si>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</si>
  <si>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</si>
  <si>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</si>
  <si>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</si>
  <si>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</si>
  <si>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</si>
  <si>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</si>
  <si>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</si>
  <si>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</si>
  <si>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</si>
  <si>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</si>
  <si>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</si>
  <si>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</si>
  <si>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</si>
  <si>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</si>
  <si>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</si>
  <si>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</si>
  <si>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</si>
  <si>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</si>
  <si>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</si>
  <si>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</si>
  <si>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</si>
  <si>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</si>
  <si>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</si>
  <si>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</si>
  <si>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</si>
  <si>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</si>
  <si>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</si>
  <si>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</si>
  <si>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</si>
  <si>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</si>
  <si>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</si>
  <si>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</si>
  <si>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</si>
  <si>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</si>
  <si>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</si>
  <si>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</si>
  <si>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</si>
  <si>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</si>
  <si>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</si>
  <si>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</si>
  <si>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</si>
  <si>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</si>
  <si>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</si>
  <si>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</si>
  <si>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</si>
  <si>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</si>
  <si>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</si>
  <si>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 _病院等_老健以外_</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</si>
  <si>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</si>
  <si>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</si>
  <si>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</si>
  <si>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</si>
  <si>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</si>
  <si>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</si>
  <si>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</si>
  <si>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</si>
  <si>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</si>
  <si>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</si>
  <si>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</si>
  <si>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</si>
  <si>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</si>
  <si>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</si>
  <si>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</si>
  <si>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</si>
  <si>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</si>
  <si>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</si>
  <si>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</si>
  <si>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</si>
  <si>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</si>
  <si>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</si>
  <si>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</si>
  <si>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</si>
  <si>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</si>
  <si>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</si>
  <si>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</si>
  <si>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</si>
  <si>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</si>
  <si>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</si>
  <si>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</si>
  <si>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</si>
  <si>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</si>
  <si>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</si>
  <si>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</si>
  <si>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</si>
  <si>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</si>
  <si>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</si>
  <si>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</si>
  <si>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</si>
  <si>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</si>
  <si>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</si>
  <si>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</si>
  <si>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</si>
  <si>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</si>
  <si>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</si>
  <si>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</si>
  <si>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</si>
  <si>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</si>
  <si>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</si>
  <si>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</si>
  <si>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</si>
  <si>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</si>
  <si>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</si>
  <si>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</si>
  <si>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</si>
  <si>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</si>
  <si>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</si>
  <si>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</si>
  <si>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</si>
  <si>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</si>
  <si>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</si>
  <si>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</si>
  <si>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</si>
  <si>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</si>
  <si>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</si>
  <si>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</si>
  <si>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</si>
  <si>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</si>
  <si>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</si>
  <si>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</si>
  <si>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</si>
  <si>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</si>
  <si>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</si>
  <si>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</si>
  <si>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</si>
  <si>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</si>
  <si>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</si>
  <si>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</si>
  <si>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</si>
  <si>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</si>
  <si>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</si>
  <si>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</si>
  <si>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</si>
  <si>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</si>
  <si>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</si>
  <si>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</si>
  <si>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</si>
  <si>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</si>
  <si>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</si>
  <si>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</si>
  <si>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</si>
  <si>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</si>
  <si>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</si>
  <si>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</si>
  <si>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</si>
  <si>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</si>
  <si>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</si>
  <si>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</si>
  <si>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</si>
  <si>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</si>
  <si>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</si>
  <si>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</si>
  <si>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</si>
  <si>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</si>
  <si>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</si>
  <si>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</si>
  <si>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</si>
  <si>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</si>
  <si>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</si>
  <si>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</si>
  <si>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</si>
  <si>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</si>
  <si>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</si>
  <si>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</si>
  <si>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</si>
  <si>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</si>
  <si>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</si>
  <si>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</si>
  <si>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</si>
  <si>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</si>
  <si>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</si>
  <si>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</si>
  <si>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</si>
  <si>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</si>
  <si>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</si>
  <si>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</si>
  <si>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</si>
  <si>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</si>
  <si>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</si>
  <si>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</si>
  <si>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</si>
  <si>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</si>
  <si>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</si>
  <si>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</si>
  <si>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</si>
  <si>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</si>
  <si>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</si>
  <si>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</si>
  <si>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</si>
  <si>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</si>
  <si>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</si>
  <si>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</si>
  <si>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</si>
  <si>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</si>
  <si>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</si>
  <si>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</si>
  <si>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</si>
  <si>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</si>
  <si>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</si>
  <si>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</si>
  <si>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</si>
  <si>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</si>
  <si>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</si>
  <si>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</si>
  <si>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</si>
  <si>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</si>
  <si>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</si>
  <si>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</si>
  <si>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</si>
  <si>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</si>
  <si>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</si>
  <si>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</si>
  <si>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</si>
  <si>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</si>
  <si>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</si>
  <si>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</si>
  <si>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</si>
  <si>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</si>
  <si>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</si>
  <si>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</si>
  <si>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</si>
  <si>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</si>
  <si>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</si>
  <si>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</si>
  <si>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</si>
  <si>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</si>
  <si>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</si>
  <si>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</si>
  <si>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</si>
  <si>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</si>
  <si>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</si>
  <si>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</si>
  <si>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</si>
  <si>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</si>
  <si>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</si>
  <si>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</si>
  <si>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</si>
  <si>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</si>
  <si>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</si>
  <si>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</si>
  <si>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</si>
  <si>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</si>
  <si>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</si>
  <si>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</si>
  <si>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</si>
  <si>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</si>
  <si>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</si>
  <si>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</si>
  <si>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</si>
  <si>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</si>
  <si>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</si>
  <si>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</si>
  <si>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</si>
  <si>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</si>
  <si>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</si>
  <si>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</si>
  <si>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</si>
  <si>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</si>
  <si>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</si>
  <si>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</si>
  <si>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</si>
  <si>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</si>
  <si>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</si>
  <si>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</si>
  <si>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</si>
  <si>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</si>
  <si>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</si>
  <si>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</si>
  <si>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</si>
  <si>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</si>
  <si>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</si>
  <si>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</si>
  <si>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</si>
  <si>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</si>
  <si>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</si>
  <si>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</si>
  <si>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</si>
  <si>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</si>
  <si>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</si>
  <si>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</si>
  <si>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</si>
  <si>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</si>
  <si>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</si>
  <si>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</si>
  <si>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</si>
  <si>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</si>
  <si>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</si>
  <si>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</si>
  <si>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</si>
  <si>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</si>
  <si>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</si>
  <si>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</si>
  <si>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</si>
  <si>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</si>
  <si>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</si>
  <si>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</si>
  <si>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</si>
  <si>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</si>
  <si>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</si>
  <si>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</si>
  <si>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</si>
  <si>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</si>
  <si>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</si>
  <si>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</si>
  <si>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</si>
  <si>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</si>
  <si>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</si>
  <si>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</si>
  <si>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</si>
  <si>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</si>
  <si>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</si>
  <si>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</si>
  <si>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</si>
  <si>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</si>
  <si>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</si>
  <si>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</si>
  <si>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</si>
  <si>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</si>
  <si>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</si>
  <si>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</si>
  <si>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</si>
  <si>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</si>
  <si>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</si>
  <si>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</si>
  <si>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</si>
  <si>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</si>
  <si>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</si>
  <si>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</si>
  <si>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</si>
  <si>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</si>
  <si>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</si>
  <si>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</si>
  <si>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</si>
  <si>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</si>
  <si>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</si>
  <si>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</si>
  <si>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</si>
  <si>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</si>
  <si>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</si>
  <si>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</si>
  <si>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</si>
  <si>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</si>
  <si>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</si>
  <si>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</si>
  <si>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</si>
  <si>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</si>
  <si>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</si>
  <si>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</si>
  <si>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</si>
  <si>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</si>
  <si>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</si>
  <si>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</si>
  <si>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</si>
  <si>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</si>
  <si>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</si>
  <si>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</si>
  <si>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</si>
  <si>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</si>
  <si>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</si>
  <si>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</si>
  <si>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</si>
  <si>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</si>
  <si>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</si>
  <si>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</si>
  <si>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</si>
  <si>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</si>
  <si>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</si>
  <si>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</si>
  <si>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</si>
  <si>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</si>
  <si>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</si>
  <si>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</si>
  <si>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</si>
  <si>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</si>
  <si>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</si>
  <si>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</si>
  <si>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</si>
  <si>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</si>
  <si>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</si>
  <si>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</si>
  <si>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</si>
  <si>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</si>
  <si>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</si>
  <si>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</si>
  <si>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</si>
  <si>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</si>
  <si>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</si>
  <si>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</si>
  <si>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</si>
  <si>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</si>
  <si>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</si>
  <si>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</si>
  <si>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</si>
  <si>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</si>
  <si>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</si>
  <si>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</si>
  <si>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</si>
  <si>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</si>
  <si>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</si>
  <si>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</si>
  <si>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</si>
  <si>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</si>
  <si>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</si>
  <si>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</si>
  <si>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</si>
  <si>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</si>
  <si>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</si>
  <si>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</si>
  <si>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</si>
  <si>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</si>
  <si>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</si>
  <si>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</si>
  <si>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</si>
  <si>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</si>
  <si>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</si>
  <si>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</si>
  <si>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</si>
  <si>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</si>
  <si>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</si>
  <si>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</si>
  <si>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</si>
  <si>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</si>
  <si>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</si>
  <si>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</si>
  <si>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</si>
  <si>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</si>
  <si>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</si>
  <si>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</si>
  <si>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</si>
  <si>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</si>
  <si>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</si>
  <si>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</si>
  <si>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</si>
  <si>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</si>
  <si>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</si>
  <si>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</si>
  <si>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</si>
  <si>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</si>
  <si>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</si>
  <si>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</si>
  <si>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</si>
  <si>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</si>
  <si>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</si>
  <si>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</si>
  <si>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</si>
  <si>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</si>
  <si>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</si>
  <si>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</si>
  <si>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</si>
  <si>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</si>
  <si>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</si>
  <si>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</si>
  <si>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</si>
  <si>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</si>
  <si>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</si>
  <si>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</si>
  <si>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</si>
  <si>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</si>
  <si>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</si>
  <si>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</si>
  <si>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</si>
  <si>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</si>
  <si>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</si>
  <si>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</si>
  <si>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</si>
  <si>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</si>
  <si>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</si>
  <si>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</si>
  <si>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</si>
  <si>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</si>
  <si>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</si>
  <si>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</si>
  <si>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</si>
  <si>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</si>
  <si>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</si>
  <si>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</si>
  <si>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</si>
  <si>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</si>
  <si>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</si>
  <si>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</si>
  <si>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</si>
  <si>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</si>
  <si>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</si>
  <si>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</si>
  <si>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</si>
  <si>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</si>
  <si>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</si>
  <si>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</si>
  <si>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</si>
  <si>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</si>
  <si>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</si>
  <si>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</si>
  <si>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</si>
  <si>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</si>
  <si>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</si>
  <si>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</si>
  <si>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</si>
  <si>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</si>
  <si>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</si>
  <si>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</si>
  <si>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</si>
  <si>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</si>
  <si>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</si>
  <si>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</si>
  <si>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</si>
  <si>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</si>
  <si>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</si>
  <si>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</si>
  <si>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</si>
  <si>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</si>
  <si>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</si>
  <si>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</si>
  <si>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</si>
  <si>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</si>
  <si>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</si>
  <si>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</si>
  <si>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</si>
  <si>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</si>
  <si>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</si>
  <si>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</si>
  <si>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</si>
  <si>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</si>
  <si>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</si>
  <si>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</si>
  <si>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</si>
  <si>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</si>
  <si>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</si>
  <si>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</si>
  <si>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</si>
  <si>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</si>
  <si>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</si>
  <si>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</si>
  <si>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</si>
  <si>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</si>
  <si>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</si>
  <si>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</si>
  <si>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</si>
  <si>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</si>
  <si>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</si>
  <si>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</si>
  <si>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</si>
  <si>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</si>
  <si>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</si>
  <si>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</si>
  <si>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</si>
  <si>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</si>
  <si>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</si>
  <si>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</si>
  <si>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</si>
  <si>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</si>
  <si>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</si>
  <si>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</si>
  <si>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</si>
  <si>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</si>
  <si>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</si>
  <si>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</si>
  <si>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</si>
  <si>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</si>
  <si>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</si>
  <si>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</si>
  <si>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</si>
  <si>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</si>
  <si>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</si>
  <si>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</si>
  <si>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</si>
  <si>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</si>
  <si>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</si>
  <si>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</si>
  <si>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</si>
  <si>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</si>
  <si>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</si>
  <si>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</si>
  <si>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</si>
  <si>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</si>
  <si>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</si>
  <si>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</si>
  <si>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</si>
  <si>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</si>
  <si>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</si>
  <si>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</si>
  <si>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</si>
  <si>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</si>
  <si>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</si>
  <si>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</si>
  <si>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</si>
  <si>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</si>
  <si>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</si>
  <si>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</si>
  <si>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</si>
  <si>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</si>
  <si>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</si>
  <si>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</si>
  <si>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</si>
  <si>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</si>
  <si>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</si>
  <si>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</si>
  <si>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</si>
  <si>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</si>
  <si>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</si>
  <si>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</si>
  <si>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</si>
  <si>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</si>
  <si>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</si>
  <si>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</si>
  <si>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</si>
  <si>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</si>
  <si>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</si>
  <si>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</si>
  <si>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</si>
  <si>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</si>
  <si>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</si>
  <si>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</si>
  <si>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</si>
  <si>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</si>
  <si>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</si>
  <si>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</si>
  <si>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</si>
  <si>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</si>
  <si>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</si>
  <si>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</si>
  <si>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</si>
  <si>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</si>
  <si>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</si>
  <si>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</si>
  <si>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</si>
  <si>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</si>
  <si>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</si>
  <si>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</si>
  <si>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</si>
  <si>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</si>
  <si>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</si>
  <si>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</si>
  <si>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</si>
  <si>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</si>
  <si>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</si>
  <si>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</si>
  <si>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</si>
  <si>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</si>
  <si>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</si>
  <si>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</si>
  <si>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</si>
  <si>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</si>
  <si>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</si>
  <si>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</si>
  <si>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</si>
  <si>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</si>
  <si>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</si>
  <si>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</si>
  <si>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</si>
  <si>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</si>
  <si>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</si>
  <si>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</si>
  <si>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</si>
  <si>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</si>
  <si>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</si>
  <si>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</si>
  <si>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</si>
  <si>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</si>
  <si>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</si>
  <si>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</si>
  <si>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</si>
  <si>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</si>
  <si>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</si>
  <si>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</si>
  <si>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</si>
  <si>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</si>
  <si>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</si>
  <si>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</si>
  <si>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</si>
  <si>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</si>
  <si>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</si>
  <si>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</si>
  <si>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</si>
  <si>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</si>
  <si>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</si>
  <si>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</si>
  <si>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</si>
  <si>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</si>
  <si>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</si>
  <si>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</si>
  <si>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</si>
  <si>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</si>
  <si>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</si>
  <si>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</si>
  <si>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</si>
  <si>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</si>
  <si>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</si>
  <si>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</si>
  <si>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</si>
  <si>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</si>
  <si>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</si>
  <si>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</si>
  <si>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</si>
  <si>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</si>
  <si>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</si>
  <si>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</si>
  <si>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</si>
  <si>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</si>
  <si>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</si>
  <si>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</si>
  <si>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</si>
  <si>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</si>
  <si>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</si>
  <si>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</si>
  <si>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</si>
  <si>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</si>
  <si>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</si>
  <si>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</si>
  <si>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</si>
  <si>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</si>
  <si>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</si>
  <si>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</si>
  <si>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</si>
  <si>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</si>
  <si>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</si>
  <si>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</si>
  <si>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</si>
  <si>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</si>
  <si>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</si>
  <si>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</si>
  <si>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</si>
  <si>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</si>
  <si>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</si>
  <si>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</si>
  <si>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</si>
  <si>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</si>
  <si>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</si>
  <si>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</si>
  <si>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</si>
  <si>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</si>
  <si>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</si>
  <si>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</si>
  <si>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</si>
  <si>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</si>
  <si>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</si>
  <si>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</si>
  <si>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</si>
  <si>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</si>
  <si>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</si>
  <si>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</si>
  <si>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</si>
  <si>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</si>
  <si>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</si>
  <si>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</si>
  <si>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</si>
  <si>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</si>
  <si>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</si>
  <si>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</si>
  <si>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</si>
  <si>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</si>
  <si>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</si>
  <si>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</si>
  <si>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</si>
  <si>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</si>
  <si>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</si>
  <si>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</si>
  <si>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</si>
  <si>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</si>
  <si>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</si>
  <si>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</si>
  <si>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</si>
  <si>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</si>
  <si>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</si>
  <si>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</si>
  <si>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</si>
  <si>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</si>
  <si>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</si>
  <si>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</si>
  <si>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</si>
  <si>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</si>
  <si>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</si>
  <si>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</si>
  <si>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</si>
  <si>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</si>
  <si>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</si>
  <si>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</si>
  <si>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</si>
  <si>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</si>
  <si>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</si>
  <si>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</si>
  <si>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</si>
  <si>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</si>
  <si>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</si>
  <si>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</si>
  <si>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</si>
  <si>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</si>
  <si>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</si>
  <si>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</si>
  <si>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</si>
  <si>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</si>
  <si>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</si>
  <si>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</si>
  <si>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</si>
  <si>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</si>
  <si>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</si>
  <si>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</si>
  <si>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</si>
  <si>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</si>
  <si>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</si>
  <si>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</si>
  <si>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</si>
  <si>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</si>
  <si>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</si>
  <si>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</si>
  <si>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</si>
  <si>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</si>
  <si>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</si>
  <si>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</si>
  <si>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</si>
  <si>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</si>
  <si>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</si>
  <si>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</si>
  <si>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</si>
  <si>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</si>
  <si>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</si>
  <si>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</si>
  <si>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</si>
  <si>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</si>
  <si>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</si>
  <si>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</si>
  <si>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</si>
  <si>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</si>
  <si>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</si>
  <si>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</si>
  <si>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</si>
  <si>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</si>
  <si>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</si>
  <si>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</si>
  <si>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</si>
  <si>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</si>
  <si>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</si>
  <si>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</si>
  <si>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</si>
  <si>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</si>
  <si>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</si>
  <si>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</si>
  <si>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</si>
  <si>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</si>
  <si>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</si>
  <si>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</si>
  <si>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</si>
  <si>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</si>
  <si>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</si>
  <si>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</si>
  <si>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</si>
  <si>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</si>
  <si>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</si>
  <si>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</si>
  <si>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</si>
  <si>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</si>
  <si>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</si>
  <si>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</si>
  <si>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</si>
  <si>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</si>
  <si>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</si>
  <si>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</si>
  <si>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</si>
  <si>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</si>
  <si>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</si>
  <si>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</si>
  <si>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</si>
  <si>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</si>
  <si>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</si>
  <si>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</si>
  <si>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</si>
  <si>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</si>
  <si>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</si>
  <si>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</si>
  <si>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</si>
  <si>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</si>
  <si>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</si>
  <si>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</si>
  <si>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</si>
  <si>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</si>
  <si>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</si>
  <si>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</si>
  <si>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</si>
  <si>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</si>
  <si>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</si>
  <si>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</si>
  <si>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</si>
  <si>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</si>
  <si>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</si>
  <si>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</si>
  <si>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</si>
  <si>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</si>
  <si>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</si>
  <si>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</si>
  <si>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</si>
  <si>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</si>
  <si>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</si>
  <si>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</si>
  <si>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</si>
  <si>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</si>
  <si>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</si>
  <si>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</si>
  <si>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</si>
  <si>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</si>
  <si>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</si>
  <si>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</si>
  <si>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</si>
  <si>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</si>
  <si>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</si>
  <si>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</si>
  <si>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</si>
  <si>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</si>
  <si>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</si>
  <si>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</si>
  <si>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</si>
  <si>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</si>
  <si>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</si>
  <si>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</si>
  <si>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</si>
  <si>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</si>
  <si>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</si>
  <si>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</si>
  <si>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</si>
  <si>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</si>
  <si>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</si>
  <si>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</si>
  <si>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</si>
  <si>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</si>
  <si>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</si>
  <si>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</si>
  <si>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</si>
  <si>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</si>
  <si>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</si>
  <si>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</si>
  <si>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</si>
  <si>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</si>
  <si>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</si>
  <si>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</si>
  <si>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</si>
  <si>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</si>
  <si>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</si>
  <si>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</si>
  <si>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</si>
  <si>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</si>
  <si>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</si>
  <si>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</si>
  <si>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</si>
  <si>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</si>
  <si>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</si>
  <si>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</si>
  <si>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</si>
  <si>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</si>
  <si>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</si>
  <si>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</si>
  <si>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</si>
  <si>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</si>
  <si>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</si>
  <si>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</si>
  <si>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</si>
  <si>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</si>
  <si>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</si>
  <si>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</si>
  <si>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</si>
  <si>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</si>
  <si>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</si>
  <si>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</si>
  <si>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</si>
  <si>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</si>
  <si>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</si>
  <si>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</si>
  <si>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</si>
  <si>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</si>
  <si>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</si>
  <si>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</si>
  <si>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</si>
  <si>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</si>
  <si>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</si>
  <si>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</si>
  <si>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</si>
  <si>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</si>
  <si>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</si>
  <si>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</si>
  <si>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</si>
  <si>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</si>
  <si>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</si>
  <si>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</si>
  <si>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</si>
  <si>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</si>
  <si>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</si>
  <si>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</si>
  <si>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</si>
  <si>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</si>
  <si>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</si>
  <si>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</si>
  <si>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</si>
  <si>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</si>
  <si>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</si>
  <si>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</si>
  <si>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</si>
  <si>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</si>
  <si>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</si>
  <si>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</si>
  <si>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</si>
  <si>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</si>
  <si>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</si>
  <si>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</si>
  <si>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</si>
  <si>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</si>
  <si>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</si>
  <si>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</si>
  <si>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</si>
  <si>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</si>
  <si>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</si>
  <si>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</si>
  <si>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</si>
  <si>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</si>
  <si>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</si>
  <si>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</si>
  <si>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</si>
  <si>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</si>
  <si>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</si>
  <si>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</si>
  <si>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</si>
  <si>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</si>
  <si>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</si>
  <si>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</si>
  <si>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</si>
  <si>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</si>
  <si>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</si>
  <si>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</si>
  <si>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</si>
  <si>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</si>
  <si>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</si>
  <si>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</si>
  <si>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</si>
  <si>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</si>
  <si>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</si>
  <si>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</si>
  <si>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</si>
  <si>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</si>
  <si>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</si>
  <si>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</si>
  <si>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</si>
  <si>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</si>
  <si>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</si>
  <si>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</si>
  <si>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</si>
  <si>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</si>
  <si>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</si>
  <si>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</si>
  <si>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</si>
  <si>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</si>
  <si>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</si>
  <si>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</si>
  <si>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</si>
  <si>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</si>
  <si>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</si>
  <si>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</si>
  <si>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</si>
  <si>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</si>
  <si>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</si>
  <si>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</si>
  <si>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</si>
  <si>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</si>
  <si>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</si>
  <si>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</si>
  <si>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</si>
  <si>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</si>
  <si>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</si>
  <si>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</si>
  <si>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</si>
  <si>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</si>
  <si>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</si>
  <si>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</si>
  <si>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</si>
  <si>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</si>
  <si>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</si>
  <si>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</si>
  <si>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</si>
  <si>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</si>
  <si>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</si>
  <si>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</si>
  <si>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</si>
  <si>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</si>
  <si>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</si>
  <si>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</si>
  <si>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</si>
  <si>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</si>
  <si>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</si>
  <si>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</si>
  <si>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</si>
  <si>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</si>
  <si>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</si>
  <si>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</si>
  <si>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</si>
  <si>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</si>
  <si>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</si>
  <si>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</si>
  <si>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</si>
  <si>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</si>
  <si>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</si>
  <si>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</si>
  <si>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</si>
  <si>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</si>
  <si>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</si>
  <si>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</si>
  <si>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</si>
  <si>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</si>
  <si>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</si>
  <si>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</si>
  <si>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</si>
  <si>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</si>
  <si>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</si>
  <si>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</si>
  <si>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</si>
  <si>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</si>
  <si>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</si>
  <si>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</si>
  <si>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</si>
  <si>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</si>
  <si>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</si>
  <si>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</si>
  <si>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</si>
  <si>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</si>
  <si>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</si>
  <si>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</si>
  <si>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</si>
  <si>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</si>
  <si>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</si>
  <si>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</si>
  <si>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</si>
  <si>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</si>
  <si>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</si>
  <si>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</si>
  <si>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</si>
  <si>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</si>
  <si>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</si>
  <si>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</si>
  <si>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</si>
  <si>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</si>
  <si>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</si>
  <si>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</si>
  <si>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</si>
  <si>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</si>
  <si>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</si>
  <si>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</si>
  <si>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</si>
  <si>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</si>
  <si>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</si>
  <si>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</si>
  <si>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</si>
  <si>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</si>
  <si>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</si>
  <si>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</si>
  <si>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</si>
  <si>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</si>
  <si>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</si>
  <si>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</si>
  <si>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</si>
  <si>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</si>
  <si>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</si>
  <si>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</si>
  <si>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</si>
  <si>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</si>
  <si>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</si>
  <si>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</si>
  <si>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</si>
  <si>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</si>
  <si>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</si>
  <si>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</si>
  <si>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</si>
  <si>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</si>
  <si>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</si>
  <si>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</si>
  <si>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</si>
  <si>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</si>
  <si>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</si>
  <si>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</si>
  <si>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</si>
  <si>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</si>
  <si>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</si>
  <si>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</si>
  <si>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</si>
  <si>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</si>
  <si>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</si>
  <si>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</si>
  <si>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</si>
  <si>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</si>
  <si>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</si>
  <si>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</si>
  <si>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</si>
  <si>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</si>
  <si>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</si>
  <si>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</si>
  <si>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</si>
  <si>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</si>
  <si>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</si>
  <si>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</si>
  <si>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</si>
  <si>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</si>
  <si>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</si>
  <si>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</si>
  <si>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</si>
  <si>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</si>
  <si>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</si>
  <si>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</si>
  <si>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</si>
  <si>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</si>
  <si>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</si>
  <si>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</si>
  <si>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</si>
  <si>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</si>
  <si>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</si>
  <si>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</si>
  <si>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</si>
  <si>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</si>
  <si>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</si>
  <si>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</si>
  <si>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</si>
  <si>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</si>
  <si>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</si>
  <si>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</si>
  <si>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</si>
  <si>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</si>
  <si>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</si>
  <si>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</si>
  <si>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</si>
  <si>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</si>
  <si>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</si>
  <si>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</si>
  <si>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</si>
  <si>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</si>
  <si>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</si>
  <si>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</si>
  <si>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</si>
  <si>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</si>
  <si>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</si>
  <si>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</si>
  <si>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</si>
  <si>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</si>
  <si>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</si>
  <si>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</si>
  <si>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</si>
  <si>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</si>
  <si>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</si>
  <si>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</si>
  <si>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</si>
  <si>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</si>
  <si>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</si>
  <si>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</si>
  <si>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</si>
  <si>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</si>
  <si>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</si>
  <si>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</si>
  <si>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</si>
  <si>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</si>
  <si>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</si>
  <si>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</si>
  <si>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</si>
  <si>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</si>
  <si>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</si>
  <si>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</si>
  <si>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</si>
  <si>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</si>
  <si>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</si>
  <si>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</si>
  <si>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</si>
  <si>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</si>
  <si>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</si>
  <si>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</si>
  <si>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</si>
  <si>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</si>
  <si>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</si>
  <si>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</si>
  <si>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</si>
  <si>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</si>
  <si>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</si>
  <si>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</si>
  <si>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</si>
  <si>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</si>
  <si>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</si>
  <si>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</si>
  <si>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</si>
  <si>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</si>
  <si>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</si>
  <si>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</si>
  <si>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</si>
  <si>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</si>
  <si>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</si>
  <si>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</si>
  <si>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</si>
  <si>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</si>
  <si>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</si>
  <si>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</si>
  <si>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</si>
  <si>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</si>
  <si>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</si>
  <si>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</si>
  <si>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</si>
  <si>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</si>
  <si>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</si>
  <si>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</si>
  <si>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</si>
  <si>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</si>
  <si>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</si>
  <si>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</si>
  <si>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</si>
  <si>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</si>
  <si>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</si>
  <si>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</si>
  <si>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</si>
  <si>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</si>
  <si>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</si>
  <si>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</si>
  <si>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</si>
  <si>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</si>
  <si>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</si>
  <si>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</si>
  <si>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</si>
  <si>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</si>
  <si>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</si>
  <si>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</si>
  <si>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</si>
  <si>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</si>
  <si>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</si>
  <si>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</si>
  <si>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</si>
  <si>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</si>
  <si>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</si>
  <si>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</si>
  <si>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</si>
  <si>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</si>
  <si>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</si>
  <si>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</si>
  <si>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</si>
  <si>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</si>
  <si>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</si>
  <si>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</si>
  <si>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</si>
  <si>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</si>
  <si>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</si>
  <si>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</si>
  <si>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</si>
  <si>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</si>
  <si>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</si>
  <si>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</si>
  <si>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</si>
  <si>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</si>
  <si>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</si>
  <si>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</si>
  <si>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</si>
  <si>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</si>
  <si>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</si>
  <si>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</si>
  <si>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</si>
  <si>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</si>
  <si>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</si>
  <si>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</si>
  <si>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</si>
  <si>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</si>
  <si>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</si>
  <si>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</si>
  <si>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</si>
  <si>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</si>
  <si>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</si>
  <si>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</si>
  <si>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</si>
  <si>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</si>
  <si>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</si>
  <si>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</si>
  <si>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</si>
  <si>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</si>
  <si>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</si>
  <si>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</si>
  <si>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</si>
  <si>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</si>
  <si>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</si>
  <si>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</si>
  <si>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</si>
  <si>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</si>
  <si>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</si>
  <si>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</si>
  <si>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</si>
  <si>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</si>
  <si>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</si>
  <si>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</si>
  <si>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</si>
  <si>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</si>
  <si>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</si>
  <si>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</si>
  <si>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</si>
  <si>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</si>
  <si>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</si>
  <si>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</si>
  <si>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</si>
  <si>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</si>
  <si>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</si>
  <si>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</si>
  <si>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</si>
  <si>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</si>
  <si>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</si>
  <si>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</si>
  <si>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</si>
  <si>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</si>
  <si>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</si>
  <si>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</si>
  <si>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</si>
  <si>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</si>
  <si>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</si>
  <si>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</si>
  <si>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</si>
  <si>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</si>
  <si>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</si>
  <si>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</si>
  <si>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</si>
  <si>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</si>
  <si>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</si>
  <si>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</si>
  <si>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</si>
  <si>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</si>
  <si>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</si>
  <si>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</si>
  <si>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</si>
  <si>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</si>
  <si>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</si>
  <si>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</si>
  <si>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</si>
  <si>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</si>
  <si>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</si>
  <si>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</si>
  <si>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</si>
  <si>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</si>
  <si>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</si>
  <si>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</si>
  <si>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</si>
  <si>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</si>
  <si>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</si>
  <si>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</si>
  <si>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</si>
  <si>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</si>
  <si>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</si>
  <si>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</si>
  <si>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</si>
  <si>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</si>
  <si>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</si>
  <si>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</si>
  <si>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</si>
  <si>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</si>
  <si>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</si>
  <si>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</si>
  <si>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</si>
  <si>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</si>
  <si>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</si>
  <si>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</si>
  <si>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</si>
  <si>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</si>
  <si>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</si>
  <si>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</si>
  <si>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</si>
  <si>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</si>
  <si>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日野町</t>
    <rPh sb="0" eb="3">
      <t>ヒノマチ</t>
    </rPh>
    <phoneticPr fontId="2"/>
  </si>
  <si>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</si>
  <si>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</si>
  <si>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</si>
  <si>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</si>
  <si>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</si>
  <si>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</si>
  <si>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</si>
  <si>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</si>
  <si>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</si>
  <si>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</si>
  <si>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</si>
  <si>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</si>
  <si>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</si>
  <si>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</si>
  <si>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</si>
  <si>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</si>
  <si>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</si>
  <si>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</si>
  <si>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</si>
  <si>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</si>
  <si>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</si>
  <si>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</si>
  <si>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</si>
  <si>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</si>
  <si>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</si>
  <si>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</si>
  <si>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</si>
  <si>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</si>
  <si>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</si>
  <si>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</si>
  <si>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</si>
  <si>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</si>
  <si>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</si>
  <si>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</si>
  <si>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</si>
  <si>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</si>
  <si>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</si>
  <si>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</si>
  <si>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</si>
  <si>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</si>
  <si>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</si>
  <si>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</si>
  <si>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</si>
  <si>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</si>
  <si>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</si>
  <si>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</si>
  <si>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</si>
  <si>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</si>
  <si>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</si>
  <si>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</si>
  <si>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</si>
  <si>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</si>
  <si>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</si>
  <si>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</si>
  <si>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</si>
  <si>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</si>
  <si>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</si>
  <si>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</si>
  <si>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</si>
  <si>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</si>
  <si>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</si>
  <si>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</si>
  <si>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</si>
  <si>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</si>
  <si>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</si>
  <si>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南部町</t>
    <rPh sb="0" eb="3">
      <t>ナンブチョウ</t>
    </rPh>
    <phoneticPr fontId="2"/>
  </si>
  <si>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</si>
  <si>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</si>
  <si>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</si>
  <si>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</si>
  <si>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</si>
  <si>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</si>
  <si>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</si>
  <si>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</si>
  <si>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</si>
  <si>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</si>
  <si>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</si>
  <si>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</si>
  <si>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</si>
  <si>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</si>
  <si>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</si>
  <si>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</si>
  <si>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</si>
  <si>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</si>
  <si>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</si>
  <si>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</si>
  <si>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</si>
  <si>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</si>
  <si>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</si>
  <si>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</si>
  <si>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</si>
  <si>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</si>
  <si>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</si>
  <si>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</si>
  <si>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</si>
  <si>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</si>
  <si>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</si>
  <si>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</si>
  <si>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</si>
  <si>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</si>
  <si>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</si>
  <si>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</si>
  <si>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</si>
  <si>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</si>
  <si>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</si>
  <si>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</si>
  <si>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</si>
  <si>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</si>
  <si>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</si>
  <si>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</si>
  <si>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</si>
  <si>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</si>
  <si>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</si>
  <si>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</si>
  <si>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</si>
  <si>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</si>
  <si>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</si>
  <si>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</si>
  <si>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</si>
  <si>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</si>
  <si>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</si>
  <si>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</si>
  <si>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</si>
  <si>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</si>
  <si>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</si>
  <si>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</si>
  <si>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</si>
  <si>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</si>
  <si>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</si>
  <si>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</si>
  <si>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</si>
  <si>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</si>
  <si>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</si>
  <si>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</si>
  <si>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</si>
  <si>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</si>
  <si>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</si>
  <si>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</si>
  <si>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</si>
  <si>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</si>
  <si>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</si>
  <si>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</si>
  <si>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</si>
  <si>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</si>
  <si>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</si>
  <si>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</si>
  <si>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</si>
  <si>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</si>
  <si>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</si>
  <si>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</si>
  <si>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</si>
  <si>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</si>
  <si>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</si>
  <si>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</si>
  <si>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</si>
  <si>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</si>
  <si>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</si>
  <si>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</si>
  <si>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</si>
  <si>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</si>
  <si>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</si>
  <si>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</si>
  <si>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</si>
  <si>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</si>
  <si>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</si>
  <si>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</si>
  <si>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</si>
  <si>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</si>
  <si>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</si>
  <si>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</si>
  <si>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</si>
  <si>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</si>
  <si>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</si>
  <si>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</si>
  <si>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</si>
  <si>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</si>
  <si>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</si>
  <si>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</si>
  <si>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</si>
  <si>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</si>
  <si>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</si>
  <si>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</si>
  <si>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</si>
  <si>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</si>
  <si>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</si>
  <si>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</si>
  <si>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</si>
  <si>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</si>
  <si>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</si>
  <si>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</si>
  <si>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</si>
  <si>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</si>
  <si>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</si>
  <si>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</si>
  <si>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</si>
  <si>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</si>
  <si>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</si>
  <si>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</si>
  <si>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</si>
  <si>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</si>
  <si>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</si>
  <si>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</si>
  <si>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</si>
  <si>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</si>
  <si>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</si>
  <si>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</si>
  <si>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</si>
  <si>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</si>
  <si>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</si>
  <si>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</si>
  <si>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</si>
  <si>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</si>
  <si>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</si>
  <si>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</si>
  <si>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</si>
  <si>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</si>
  <si>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</si>
  <si>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</si>
  <si>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</si>
  <si>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</si>
  <si>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</si>
  <si>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</si>
  <si>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</si>
  <si>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</si>
  <si>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</si>
  <si>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</si>
  <si>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</si>
  <si>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</si>
  <si>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</si>
  <si>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</si>
  <si>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</si>
  <si>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</si>
  <si>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</si>
  <si>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</si>
  <si>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</si>
  <si>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</si>
  <si>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</si>
  <si>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</si>
  <si>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</si>
  <si>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</si>
  <si>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</si>
  <si>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</si>
  <si>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</si>
  <si>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</si>
  <si>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</si>
  <si>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</si>
  <si>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</si>
  <si>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</si>
  <si>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</si>
  <si>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</si>
  <si>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</si>
  <si>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</si>
  <si>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</si>
  <si>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</si>
  <si>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</si>
  <si>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</si>
  <si>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</si>
  <si>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</si>
  <si>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</si>
  <si>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</si>
  <si>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</si>
  <si>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</si>
  <si>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</si>
  <si>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</si>
  <si>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</si>
  <si>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</si>
  <si>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</si>
  <si>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</si>
  <si>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</si>
  <si>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</si>
  <si>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</si>
  <si>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</si>
  <si>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</si>
  <si>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</si>
  <si>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</si>
  <si>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</si>
  <si>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</si>
  <si>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</si>
  <si>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</si>
  <si>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</si>
  <si>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</si>
  <si>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</si>
  <si>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</si>
  <si>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</si>
  <si>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</si>
  <si>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</si>
  <si>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</si>
  <si>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</si>
  <si>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</si>
  <si>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</si>
  <si>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</si>
  <si>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</si>
  <si>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</si>
  <si>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</si>
  <si>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</si>
  <si>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</si>
  <si>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</si>
  <si>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</si>
  <si>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</si>
  <si>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</si>
  <si>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</si>
  <si>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</si>
  <si>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</si>
  <si>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</si>
  <si>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</si>
  <si>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</si>
  <si>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</si>
  <si>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</si>
  <si>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</si>
  <si>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</si>
  <si>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</si>
  <si>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</si>
  <si>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</si>
  <si>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</si>
  <si>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</si>
  <si>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</si>
  <si>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</si>
  <si>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</si>
  <si>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</si>
  <si>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</si>
  <si>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</si>
  <si>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</si>
  <si>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</si>
  <si>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</si>
  <si>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</si>
  <si>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</si>
  <si>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</si>
  <si>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</si>
  <si>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</si>
  <si>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</si>
  <si>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</si>
  <si>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</si>
  <si>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</si>
  <si>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</si>
  <si>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</si>
  <si>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</si>
  <si>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</si>
  <si>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</si>
  <si>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</si>
  <si>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</si>
  <si>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</si>
  <si>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</si>
  <si>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</si>
  <si>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</si>
  <si>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</si>
  <si>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</si>
  <si>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</si>
  <si>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</si>
  <si>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</si>
  <si>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</si>
  <si>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</si>
  <si>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</si>
  <si>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</si>
  <si>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</si>
  <si>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</si>
  <si>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</si>
  <si>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</si>
  <si>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</si>
  <si>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</si>
  <si>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</si>
  <si>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</si>
  <si>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</si>
  <si>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</si>
  <si>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</si>
  <si>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</si>
  <si>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</si>
  <si>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</si>
  <si>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</si>
  <si>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</si>
  <si>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</si>
  <si>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</si>
  <si>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</si>
  <si>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</si>
  <si>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</si>
  <si>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</si>
  <si>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</si>
  <si>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</si>
  <si>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</si>
  <si>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</si>
  <si>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</si>
  <si>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</si>
  <si>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</si>
  <si>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</si>
  <si>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</si>
  <si>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</si>
  <si>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</si>
  <si>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</si>
  <si>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</si>
  <si>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</si>
  <si>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</si>
  <si>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</si>
  <si>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</si>
  <si>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</si>
  <si>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</si>
  <si>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</si>
  <si>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</si>
  <si>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</si>
  <si>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</si>
  <si>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</si>
  <si>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</si>
  <si>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</si>
  <si>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</si>
  <si>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</si>
  <si>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</si>
  <si>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</si>
  <si>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</si>
  <si>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</si>
  <si>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</si>
  <si>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</si>
  <si>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</si>
  <si>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</si>
  <si>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</si>
  <si>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</si>
  <si>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</si>
  <si>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</si>
  <si>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</si>
  <si>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</si>
  <si>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</si>
  <si>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</si>
  <si>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</si>
  <si>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</si>
  <si>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</si>
  <si>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</si>
  <si>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</si>
  <si>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</si>
  <si>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</si>
  <si>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</si>
  <si>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</si>
  <si>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</si>
  <si>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</si>
  <si>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</si>
  <si>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</si>
  <si>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</si>
  <si>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</si>
  <si>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</si>
  <si>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</si>
  <si>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</si>
  <si>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</si>
  <si>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</si>
  <si>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</si>
  <si>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</si>
  <si>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</si>
  <si>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</si>
  <si>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</si>
  <si>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</si>
  <si>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</si>
  <si>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</si>
  <si>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</si>
  <si>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</si>
  <si>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</si>
  <si>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</si>
  <si>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</si>
  <si>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</si>
  <si>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</si>
  <si>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</si>
  <si>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</si>
  <si>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</si>
  <si>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</si>
  <si>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</si>
  <si>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</si>
  <si>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</si>
  <si>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</si>
  <si>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</si>
  <si>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</si>
  <si>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</si>
  <si>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</si>
  <si>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</si>
  <si>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</si>
  <si>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</si>
  <si>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</si>
  <si>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</si>
  <si>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</si>
  <si>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</si>
  <si>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</si>
  <si>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</si>
  <si>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</si>
  <si>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</si>
  <si>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</si>
  <si>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</si>
  <si>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</si>
  <si>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</si>
  <si>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</si>
  <si>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</si>
  <si>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</si>
  <si>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</si>
  <si>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</si>
  <si>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</si>
  <si>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</si>
  <si>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</si>
  <si>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</si>
  <si>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</si>
  <si>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</si>
  <si>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</si>
  <si>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</si>
  <si>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</si>
  <si>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</si>
  <si>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</si>
  <si>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</si>
  <si>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</si>
  <si>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</si>
  <si>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</si>
  <si>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</si>
  <si>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</si>
  <si>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</si>
  <si>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</si>
  <si>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</si>
  <si>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</si>
  <si>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</si>
  <si>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</si>
  <si>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</si>
  <si>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</si>
  <si>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</si>
  <si>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</si>
  <si>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</si>
  <si>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</si>
  <si>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</si>
  <si>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</si>
  <si>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</si>
  <si>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</si>
  <si>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</si>
  <si>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</si>
  <si>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</si>
  <si>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</si>
  <si>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</si>
  <si>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</si>
  <si>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</si>
  <si>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</si>
  <si>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</si>
  <si>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</si>
  <si>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</si>
  <si>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</si>
  <si>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</si>
  <si>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</si>
  <si>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</si>
  <si>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</si>
  <si>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</si>
  <si>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</si>
  <si>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</si>
  <si>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</si>
  <si>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</si>
  <si>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</si>
  <si>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</si>
  <si>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</si>
  <si>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</si>
  <si>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</si>
  <si>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</si>
  <si>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</si>
  <si>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</si>
  <si>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</si>
  <si>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</si>
  <si>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</si>
  <si>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</si>
  <si>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</si>
  <si>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</si>
  <si>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</si>
  <si>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</si>
  <si>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</si>
  <si>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</si>
  <si>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</si>
  <si>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</si>
  <si>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</si>
  <si>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</si>
  <si>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</si>
  <si>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</si>
  <si>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</si>
  <si>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</si>
  <si>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</si>
  <si>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</si>
  <si>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</si>
  <si>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</si>
  <si>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</si>
  <si>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</si>
  <si>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</si>
  <si>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</si>
  <si>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</si>
  <si>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</si>
  <si>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</si>
  <si>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</si>
  <si>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</si>
  <si>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</si>
  <si>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</si>
  <si>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</si>
  <si>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</si>
  <si>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</si>
  <si>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</si>
  <si>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</si>
  <si>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</si>
  <si>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</si>
  <si>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</si>
  <si>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</si>
  <si>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</si>
  <si>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</si>
  <si>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</si>
  <si>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</si>
  <si>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</si>
  <si>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</si>
  <si>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</si>
  <si>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</si>
  <si>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</si>
  <si>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</si>
  <si>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</si>
  <si>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</si>
  <si>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</si>
  <si>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</si>
  <si>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</si>
  <si>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</si>
  <si>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</si>
  <si>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</si>
  <si>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</si>
  <si>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</si>
  <si>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</si>
  <si>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</si>
  <si>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</si>
  <si>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</si>
  <si>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</si>
  <si>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</si>
  <si>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</si>
  <si>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</si>
  <si>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</si>
  <si>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</si>
  <si>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</si>
  <si>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</si>
  <si>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</si>
  <si>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</si>
  <si>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</si>
  <si>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</si>
  <si>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</si>
  <si>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</si>
  <si>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</si>
  <si>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</si>
  <si>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</si>
  <si>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</si>
  <si>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</si>
  <si>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</si>
  <si>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</si>
  <si>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</si>
  <si>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</si>
  <si>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</si>
  <si>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</si>
  <si>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</si>
  <si>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</si>
  <si>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</si>
  <si>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</si>
  <si>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</si>
  <si>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</si>
  <si>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</si>
  <si>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</si>
  <si>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</si>
  <si>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</si>
  <si>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</si>
  <si>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</si>
  <si>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</si>
  <si>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</si>
  <si>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</si>
  <si>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</si>
  <si>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</si>
  <si>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</si>
  <si>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</si>
  <si>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</si>
  <si>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</si>
  <si>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</si>
  <si>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</si>
  <si>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</si>
  <si>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</si>
  <si>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</si>
  <si>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</si>
  <si>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</si>
  <si>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</si>
  <si>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</si>
  <si>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</si>
  <si>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</si>
  <si>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</si>
  <si>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</si>
  <si>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</si>
  <si>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</si>
  <si>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</si>
  <si>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</si>
  <si>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</si>
  <si>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</si>
  <si>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</si>
  <si>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</si>
  <si>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</si>
  <si>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</si>
  <si>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</si>
  <si>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</si>
  <si>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</si>
  <si>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</si>
  <si>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</si>
  <si>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</si>
  <si>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</si>
  <si>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</si>
  <si>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</si>
  <si>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</si>
  <si>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</si>
  <si>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</si>
  <si>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</si>
  <si>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</si>
  <si>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</si>
  <si>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</si>
  <si>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</si>
  <si>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</si>
  <si>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</si>
  <si>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</si>
  <si>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</si>
  <si>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</si>
  <si>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</si>
  <si>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</si>
  <si>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</si>
  <si>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</si>
  <si>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</si>
  <si>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</si>
  <si>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</si>
  <si>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</si>
  <si>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</si>
  <si>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</si>
  <si>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</si>
  <si>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</si>
  <si>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</si>
  <si>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</si>
  <si>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</si>
  <si>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</si>
  <si>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</si>
  <si>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</si>
  <si>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</si>
  <si>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</si>
  <si>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</si>
  <si>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</si>
  <si>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</si>
  <si>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</si>
  <si>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</si>
  <si>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</si>
  <si>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</si>
  <si>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</si>
  <si>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</si>
  <si>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</si>
  <si>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</si>
  <si>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</si>
  <si>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</si>
  <si>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</si>
  <si>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</si>
  <si>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</si>
  <si>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</si>
  <si>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</si>
  <si>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</si>
  <si>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</si>
  <si>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</si>
  <si>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</si>
  <si>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</si>
  <si>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</si>
  <si>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</si>
  <si>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</si>
  <si>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</si>
  <si>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</si>
  <si>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</si>
  <si>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</si>
  <si>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</si>
  <si>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</si>
  <si>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</si>
  <si>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</si>
  <si>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</si>
  <si>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</si>
  <si>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</si>
  <si>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</si>
  <si>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</si>
  <si>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都道
府県</t>
    <phoneticPr fontId="11"/>
  </si>
  <si>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</si>
  <si>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</si>
  <si>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</si>
  <si>
    <t>併設本体施設において旧特定加算Ⅰ又は新加算Ⅰの届出あり</t>
    <phoneticPr fontId="11"/>
  </si>
  <si>
    <t>併設本体施設において旧特定加算Ⅰ又は新加算Ⅰの届出あり</t>
    <rPh sb="2" eb="4">
      <t>ホンタイ</t>
    </rPh>
    <rPh sb="4" eb="6">
      <t>シセツ</t>
    </rPh>
    <rPh sb="23" eb="25">
      <t>トドケデ</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</si>
</sst>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44">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00"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0" fillId="0" borderId="21" xfId="0"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0" fillId="0" borderId="25" xfId="0"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pplyProtection="1">
      <alignment vertical="center"/>
    </xf>
    <xf numFmtId="0" fontId="42" fillId="25" borderId="0" xfId="0" applyFont="1" applyFill="1" applyProtection="1">
      <alignment vertical="center"/>
    </xf>
    <xf numFmtId="0" fontId="33" fillId="25" borderId="0" xfId="0" applyFont="1" applyFill="1" applyProtection="1">
      <alignment vertical="center"/>
    </xf>
    <xf numFmtId="0" fontId="0" fillId="0" borderId="0" xfId="0" applyProtection="1">
      <alignment vertical="center"/>
    </xf>
    <xf numFmtId="0" fontId="47" fillId="25" borderId="0" xfId="0" applyFont="1" applyFill="1" applyProtection="1">
      <alignment vertical="center"/>
    </xf>
    <xf numFmtId="0" fontId="47" fillId="0" borderId="0" xfId="0" applyFont="1" applyAlignment="1" applyProtection="1">
      <alignment horizontal="center" vertical="center"/>
    </xf>
    <xf numFmtId="49" fontId="46" fillId="25" borderId="0" xfId="0" applyNumberFormat="1" applyFont="1" applyFill="1" applyAlignment="1" applyProtection="1">
      <alignment horizontal="center" vertical="center"/>
    </xf>
    <xf numFmtId="49" fontId="46" fillId="25" borderId="0" xfId="0" applyNumberFormat="1" applyFont="1" applyFill="1" applyAlignment="1" applyProtection="1">
      <alignment horizontal="left" vertical="center"/>
    </xf>
    <xf numFmtId="0" fontId="41" fillId="25" borderId="0" xfId="0" applyFont="1" applyFill="1" applyProtection="1">
      <alignment vertical="center"/>
    </xf>
    <xf numFmtId="0" fontId="49" fillId="25" borderId="0" xfId="0" applyFont="1" applyFill="1" applyAlignment="1" applyProtection="1"/>
    <xf numFmtId="0" fontId="51" fillId="25" borderId="0" xfId="0" applyFont="1" applyFill="1" applyProtection="1">
      <alignment vertical="center"/>
    </xf>
    <xf numFmtId="0" fontId="51" fillId="0" borderId="0" xfId="0" applyFont="1" applyProtection="1">
      <alignment vertical="center"/>
    </xf>
    <xf numFmtId="0" fontId="50" fillId="25" borderId="69" xfId="0" applyFont="1" applyFill="1" applyBorder="1" applyProtection="1">
      <alignment vertical="center"/>
    </xf>
    <xf numFmtId="0" fontId="50" fillId="25" borderId="12" xfId="0" applyFont="1" applyFill="1" applyBorder="1" applyProtection="1">
      <alignment vertical="center"/>
    </xf>
    <xf numFmtId="0" fontId="50" fillId="25" borderId="35" xfId="0" applyFont="1" applyFill="1" applyBorder="1" applyProtection="1">
      <alignment vertical="center"/>
    </xf>
    <xf numFmtId="0" fontId="51" fillId="25" borderId="35" xfId="0" applyFont="1" applyFill="1" applyBorder="1" applyProtection="1">
      <alignment vertical="center"/>
    </xf>
    <xf numFmtId="49" fontId="41" fillId="25" borderId="0" xfId="0" applyNumberFormat="1" applyFont="1" applyFill="1" applyAlignment="1" applyProtection="1">
      <alignment horizontal="left" vertical="center"/>
    </xf>
    <xf numFmtId="49" fontId="49" fillId="25" borderId="0" xfId="0" applyNumberFormat="1" applyFont="1" applyFill="1" applyAlignment="1" applyProtection="1">
      <alignment horizontal="left" vertical="center"/>
    </xf>
    <xf numFmtId="0" fontId="49" fillId="25" borderId="0" xfId="0" applyFont="1" applyFill="1" applyProtection="1">
      <alignment vertical="center"/>
    </xf>
    <xf numFmtId="0" fontId="50" fillId="25" borderId="0" xfId="0" applyFont="1" applyFill="1" applyProtection="1">
      <alignment vertical="center"/>
    </xf>
    <xf numFmtId="0" fontId="56" fillId="25" borderId="14" xfId="0" applyFont="1" applyFill="1" applyBorder="1" applyAlignment="1" applyProtection="1">
      <alignment horizontal="center" vertical="center"/>
    </xf>
    <xf numFmtId="0" fontId="56" fillId="0" borderId="29" xfId="0" applyFont="1" applyBorder="1" applyProtection="1">
      <alignment vertical="center"/>
    </xf>
    <xf numFmtId="0" fontId="56" fillId="25" borderId="32" xfId="0" applyFont="1" applyFill="1" applyBorder="1" applyAlignment="1" applyProtection="1">
      <alignment horizontal="center" vertical="center"/>
    </xf>
    <xf numFmtId="0" fontId="56" fillId="0" borderId="14" xfId="0" applyFont="1" applyBorder="1" applyProtection="1">
      <alignment vertical="center"/>
    </xf>
    <xf numFmtId="0" fontId="56" fillId="25" borderId="17" xfId="0" applyFont="1" applyFill="1" applyBorder="1" applyAlignment="1" applyProtection="1">
      <alignment horizontal="center" vertical="center"/>
    </xf>
    <xf numFmtId="0" fontId="56" fillId="25" borderId="75" xfId="0" applyFont="1" applyFill="1" applyBorder="1" applyAlignment="1" applyProtection="1">
      <alignment horizontal="left" vertical="center"/>
    </xf>
    <xf numFmtId="0" fontId="56" fillId="0" borderId="12" xfId="0" applyFont="1" applyBorder="1" applyAlignment="1" applyProtection="1">
      <alignment horizontal="center" vertical="center"/>
    </xf>
    <xf numFmtId="0" fontId="56" fillId="0" borderId="11" xfId="0" applyFont="1" applyBorder="1" applyProtection="1">
      <alignment vertical="center"/>
    </xf>
    <xf numFmtId="0" fontId="45" fillId="29" borderId="102" xfId="0" applyFont="1" applyFill="1" applyBorder="1" applyAlignment="1" applyProtection="1">
      <alignment horizontal="center" vertical="center"/>
    </xf>
    <xf numFmtId="0" fontId="56" fillId="25" borderId="12" xfId="0" applyFont="1" applyFill="1" applyBorder="1" applyAlignment="1" applyProtection="1">
      <alignment horizontal="center" vertical="center"/>
    </xf>
    <xf numFmtId="0" fontId="56" fillId="0" borderId="116" xfId="0" applyFont="1" applyBorder="1" applyProtection="1">
      <alignment vertical="center"/>
    </xf>
    <xf numFmtId="0" fontId="56" fillId="0" borderId="77" xfId="0" applyFont="1" applyBorder="1" applyProtection="1">
      <alignment vertical="center"/>
    </xf>
    <xf numFmtId="183" fontId="0" fillId="0" borderId="0" xfId="0" applyNumberFormat="1" applyProtection="1">
      <alignment vertical="center"/>
    </xf>
    <xf numFmtId="0" fontId="56" fillId="0" borderId="0" xfId="0" applyFont="1" applyProtection="1">
      <alignment vertical="center"/>
    </xf>
    <xf numFmtId="0" fontId="33" fillId="0" borderId="0" xfId="0" applyFont="1" applyProtection="1">
      <alignment vertical="center"/>
    </xf>
    <xf numFmtId="0" fontId="29" fillId="25" borderId="0" xfId="0" applyFont="1" applyFill="1" applyProtection="1">
      <alignment vertical="center"/>
    </xf>
    <xf numFmtId="0" fontId="29" fillId="25" borderId="0" xfId="0" applyFont="1" applyFill="1" applyAlignment="1" applyProtection="1">
      <alignment horizontal="center" vertical="top"/>
    </xf>
    <xf numFmtId="0" fontId="29" fillId="25" borderId="0" xfId="0" applyFont="1" applyFill="1" applyAlignment="1" applyProtection="1">
      <alignment horizontal="center" vertical="center"/>
    </xf>
    <xf numFmtId="0" fontId="54" fillId="0" borderId="0" xfId="0" applyFont="1" applyProtection="1">
      <alignment vertical="center"/>
    </xf>
    <xf numFmtId="0" fontId="45" fillId="0" borderId="0" xfId="0" applyFont="1" applyAlignment="1" applyProtection="1">
      <alignment horizontal="left" vertical="center"/>
    </xf>
    <xf numFmtId="0" fontId="49" fillId="0" borderId="0" xfId="0" applyFont="1" applyProtection="1">
      <alignment vertical="center"/>
    </xf>
    <xf numFmtId="0" fontId="50" fillId="0" borderId="79" xfId="0" applyFont="1" applyBorder="1" applyProtection="1">
      <alignment vertical="center"/>
    </xf>
    <xf numFmtId="0" fontId="50" fillId="25" borderId="23" xfId="0" applyFont="1" applyFill="1" applyBorder="1" applyProtection="1">
      <alignment vertical="center"/>
    </xf>
    <xf numFmtId="0" fontId="50" fillId="0" borderId="23" xfId="0" applyFont="1" applyBorder="1" applyProtection="1">
      <alignment vertical="center"/>
    </xf>
    <xf numFmtId="0" fontId="50"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0" fillId="25" borderId="18" xfId="0" applyFont="1" applyFill="1" applyBorder="1" applyProtection="1">
      <alignment vertical="center"/>
    </xf>
    <xf numFmtId="0" fontId="44" fillId="25" borderId="104" xfId="0" applyFont="1" applyFill="1" applyBorder="1" applyProtection="1">
      <alignment vertical="center"/>
    </xf>
    <xf numFmtId="0" fontId="46" fillId="25" borderId="20" xfId="0" applyFont="1" applyFill="1" applyBorder="1" applyProtection="1">
      <alignment vertical="center"/>
    </xf>
    <xf numFmtId="0" fontId="50" fillId="25" borderId="20" xfId="0" applyFont="1" applyFill="1" applyBorder="1" applyProtection="1">
      <alignment vertical="center"/>
    </xf>
    <xf numFmtId="0" fontId="46" fillId="25" borderId="0" xfId="0" applyFont="1" applyFill="1" applyProtection="1">
      <alignment vertical="center"/>
    </xf>
    <xf numFmtId="0" fontId="50" fillId="25" borderId="37" xfId="0" applyFont="1" applyFill="1" applyBorder="1" applyProtection="1">
      <alignment vertical="center"/>
    </xf>
    <xf numFmtId="0" fontId="99" fillId="33" borderId="77" xfId="0" applyFont="1" applyFill="1" applyBorder="1" applyProtection="1">
      <alignment vertical="center"/>
    </xf>
    <xf numFmtId="0" fontId="44" fillId="25" borderId="0" xfId="0" applyFont="1" applyFill="1" applyProtection="1">
      <alignment vertical="center"/>
    </xf>
    <xf numFmtId="0" fontId="99" fillId="33" borderId="10" xfId="0" applyFont="1" applyFill="1" applyBorder="1" applyProtection="1">
      <alignment vertical="center"/>
    </xf>
    <xf numFmtId="0" fontId="44" fillId="25" borderId="36" xfId="0" applyFont="1" applyFill="1" applyBorder="1" applyProtection="1">
      <alignment vertical="center"/>
    </xf>
    <xf numFmtId="0" fontId="44" fillId="25" borderId="33" xfId="0" applyFont="1" applyFill="1" applyBorder="1" applyProtection="1">
      <alignment vertical="center"/>
    </xf>
    <xf numFmtId="0" fontId="44" fillId="25" borderId="0" xfId="0" applyFont="1" applyFill="1" applyAlignment="1" applyProtection="1">
      <alignment horizontal="center" vertical="center"/>
    </xf>
    <xf numFmtId="0" fontId="100" fillId="0" borderId="0" xfId="0" applyFont="1" applyProtection="1">
      <alignment vertical="center"/>
    </xf>
    <xf numFmtId="0" fontId="46" fillId="25" borderId="33" xfId="0" applyFont="1" applyFill="1" applyBorder="1" applyProtection="1">
      <alignment vertical="center"/>
    </xf>
    <xf numFmtId="0" fontId="50" fillId="25" borderId="36" xfId="0" applyFont="1" applyFill="1" applyBorder="1" applyProtection="1">
      <alignment vertical="center"/>
    </xf>
    <xf numFmtId="0" fontId="44" fillId="0" borderId="101" xfId="0" applyFont="1" applyBorder="1" applyAlignment="1" applyProtection="1">
      <alignment horizontal="left" vertical="center"/>
    </xf>
    <xf numFmtId="0" fontId="50"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4" fillId="25" borderId="0" xfId="0" applyFont="1" applyFill="1" applyAlignment="1" applyProtection="1">
      <alignment horizontal="left" vertical="center"/>
    </xf>
    <xf numFmtId="0" fontId="50" fillId="25" borderId="0" xfId="0" applyFont="1" applyFill="1" applyAlignment="1" applyProtection="1">
      <alignment horizontal="center" vertical="center"/>
    </xf>
    <xf numFmtId="0" fontId="50" fillId="25" borderId="36" xfId="0" applyFont="1" applyFill="1" applyBorder="1" applyAlignment="1" applyProtection="1">
      <alignment horizontal="center" vertical="center"/>
    </xf>
    <xf numFmtId="0" fontId="44" fillId="25" borderId="0" xfId="0" applyFont="1" applyFill="1" applyAlignment="1" applyProtection="1">
      <alignment vertical="center" wrapText="1"/>
    </xf>
    <xf numFmtId="0" fontId="29" fillId="0" borderId="12" xfId="0" applyFont="1" applyBorder="1" applyAlignment="1" applyProtection="1">
      <alignment horizontal="center" vertical="center"/>
    </xf>
    <xf numFmtId="0" fontId="29" fillId="25" borderId="33" xfId="0" applyFont="1" applyFill="1" applyBorder="1" applyAlignment="1" applyProtection="1">
      <alignment vertical="center" wrapText="1"/>
    </xf>
    <xf numFmtId="0" fontId="29" fillId="25" borderId="0" xfId="0" applyFont="1" applyFill="1" applyAlignment="1" applyProtection="1">
      <alignment vertical="center" wrapText="1"/>
    </xf>
    <xf numFmtId="49" fontId="53" fillId="25" borderId="0" xfId="0" applyNumberFormat="1" applyFont="1" applyFill="1" applyProtection="1">
      <alignment vertical="center"/>
    </xf>
    <xf numFmtId="0" fontId="76" fillId="0" borderId="0" xfId="0" applyFont="1" applyAlignment="1" applyProtection="1">
      <alignment horizontal="center" vertical="top" wrapText="1"/>
    </xf>
    <xf numFmtId="0" fontId="46" fillId="25" borderId="0" xfId="0" applyFont="1" applyFill="1" applyAlignment="1" applyProtection="1">
      <alignment vertical="center" wrapText="1"/>
    </xf>
    <xf numFmtId="0" fontId="46" fillId="25" borderId="0" xfId="0" applyFont="1" applyFill="1" applyAlignment="1" applyProtection="1">
      <alignment horizontal="left" vertical="top" wrapText="1"/>
    </xf>
    <xf numFmtId="0" fontId="44" fillId="25" borderId="29" xfId="0" applyFont="1" applyFill="1" applyBorder="1" applyProtection="1">
      <alignment vertical="center"/>
    </xf>
    <xf numFmtId="0" fontId="0" fillId="25" borderId="0" xfId="0" applyFill="1" applyAlignment="1" applyProtection="1"/>
    <xf numFmtId="0" fontId="46" fillId="25" borderId="0" xfId="0" applyFont="1" applyFill="1" applyAlignment="1" applyProtection="1">
      <alignment horizontal="left" vertical="center"/>
    </xf>
    <xf numFmtId="0" fontId="45" fillId="30" borderId="102" xfId="0" applyFont="1" applyFill="1" applyBorder="1" applyAlignment="1" applyProtection="1">
      <alignment horizontal="center" vertical="center"/>
    </xf>
    <xf numFmtId="0" fontId="44" fillId="25" borderId="15" xfId="0" applyFont="1" applyFill="1" applyBorder="1" applyProtection="1">
      <alignment vertical="center"/>
    </xf>
    <xf numFmtId="0" fontId="62" fillId="25" borderId="36" xfId="0" applyFont="1" applyFill="1" applyBorder="1" applyAlignment="1" applyProtection="1">
      <alignment horizontal="right" vertical="center" shrinkToFit="1"/>
    </xf>
    <xf numFmtId="0" fontId="62"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4" fillId="25" borderId="61" xfId="0" applyFont="1" applyFill="1" applyBorder="1" applyProtection="1">
      <alignment vertical="center"/>
    </xf>
    <xf numFmtId="0" fontId="0" fillId="25" borderId="0" xfId="0" applyFill="1" applyAlignment="1" applyProtection="1">
      <alignment vertical="top"/>
    </xf>
    <xf numFmtId="0" fontId="65" fillId="25" borderId="0" xfId="0" applyFont="1" applyFill="1" applyProtection="1">
      <alignment vertical="center"/>
    </xf>
    <xf numFmtId="0" fontId="62" fillId="25" borderId="0" xfId="0" applyFont="1" applyFill="1" applyAlignment="1" applyProtection="1">
      <alignment horizontal="right" vertical="center" shrinkToFit="1"/>
    </xf>
    <xf numFmtId="2" fontId="62" fillId="25" borderId="0" xfId="0" applyNumberFormat="1" applyFont="1" applyFill="1" applyAlignment="1" applyProtection="1">
      <alignment horizontal="center" vertical="center" shrinkToFit="1"/>
    </xf>
    <xf numFmtId="0" fontId="44" fillId="25" borderId="75" xfId="0" applyFont="1" applyFill="1" applyBorder="1" applyAlignment="1" applyProtection="1">
      <alignment horizontal="left" vertical="top" wrapText="1"/>
    </xf>
    <xf numFmtId="0" fontId="0" fillId="0" borderId="103" xfId="0" applyBorder="1" applyProtection="1">
      <alignment vertical="center"/>
    </xf>
    <xf numFmtId="0" fontId="45" fillId="25" borderId="0" xfId="0" applyFont="1" applyFill="1" applyProtection="1">
      <alignment vertical="center"/>
    </xf>
    <xf numFmtId="0" fontId="29" fillId="0" borderId="0" xfId="0" applyFont="1" applyProtection="1">
      <alignment vertical="center"/>
    </xf>
    <xf numFmtId="0" fontId="46" fillId="0" borderId="0" xfId="0" applyFont="1" applyAlignment="1" applyProtection="1">
      <alignment horizontal="left" vertical="center" wrapText="1"/>
    </xf>
    <xf numFmtId="0" fontId="29" fillId="25" borderId="0" xfId="0" applyFont="1" applyFill="1" applyAlignment="1" applyProtection="1">
      <alignment horizontal="left" vertical="center" wrapText="1"/>
    </xf>
    <xf numFmtId="0" fontId="59" fillId="25" borderId="0" xfId="0" applyFont="1" applyFill="1" applyAlignment="1" applyProtection="1">
      <alignment horizontal="left" vertical="center" wrapText="1"/>
    </xf>
    <xf numFmtId="0" fontId="40" fillId="0" borderId="0" xfId="0" applyFont="1" applyAlignment="1" applyProtection="1">
      <alignment horizontal="left" vertical="top" wrapText="1"/>
    </xf>
    <xf numFmtId="49" fontId="46" fillId="25" borderId="0" xfId="0" applyNumberFormat="1" applyFont="1" applyFill="1" applyAlignment="1" applyProtection="1">
      <alignment horizontal="center" vertical="top"/>
    </xf>
    <xf numFmtId="0" fontId="0" fillId="25" borderId="16" xfId="0" applyFill="1" applyBorder="1" applyProtection="1">
      <alignment vertical="center"/>
    </xf>
    <xf numFmtId="0" fontId="44" fillId="25" borderId="116" xfId="0" applyFont="1" applyFill="1" applyBorder="1" applyProtection="1">
      <alignment vertical="center"/>
    </xf>
    <xf numFmtId="0" fontId="44" fillId="0" borderId="0" xfId="0" applyFont="1" applyAlignment="1" applyProtection="1">
      <alignment horizontal="left" vertical="center"/>
    </xf>
    <xf numFmtId="2" fontId="62" fillId="25" borderId="0" xfId="0" applyNumberFormat="1" applyFont="1" applyFill="1" applyAlignment="1" applyProtection="1">
      <alignment vertical="center" shrinkToFit="1"/>
    </xf>
    <xf numFmtId="0" fontId="0" fillId="25" borderId="32" xfId="0" applyFill="1" applyBorder="1" applyProtection="1">
      <alignment vertical="center"/>
    </xf>
    <xf numFmtId="0" fontId="44" fillId="25" borderId="17" xfId="0" applyFont="1" applyFill="1" applyBorder="1" applyAlignment="1" applyProtection="1">
      <alignment vertical="center" wrapText="1"/>
    </xf>
    <xf numFmtId="0" fontId="0" fillId="0" borderId="118" xfId="0" applyBorder="1" applyProtection="1">
      <alignment vertical="center"/>
    </xf>
    <xf numFmtId="0" fontId="44"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4" fillId="25" borderId="17" xfId="0" applyFont="1" applyFill="1" applyBorder="1" applyAlignment="1" applyProtection="1">
      <alignment horizontal="left" vertical="center" wrapText="1"/>
    </xf>
    <xf numFmtId="0" fontId="62" fillId="25" borderId="0" xfId="0" applyFont="1" applyFill="1" applyAlignment="1" applyProtection="1">
      <alignment vertical="center" textRotation="255" shrinkToFit="1"/>
    </xf>
    <xf numFmtId="0" fontId="46" fillId="25" borderId="0" xfId="0" applyFont="1" applyFill="1" applyAlignment="1" applyProtection="1">
      <alignment horizontal="center" vertical="center"/>
    </xf>
    <xf numFmtId="0" fontId="37" fillId="25" borderId="0" xfId="0" applyFont="1" applyFill="1" applyProtection="1">
      <alignment vertical="center"/>
    </xf>
    <xf numFmtId="49" fontId="37" fillId="0" borderId="0" xfId="0" applyNumberFormat="1" applyFont="1" applyAlignment="1" applyProtection="1">
      <alignment horizontal="left" vertical="center"/>
    </xf>
    <xf numFmtId="0" fontId="37" fillId="0" borderId="0" xfId="0" applyFont="1" applyProtection="1">
      <alignment vertical="center"/>
    </xf>
    <xf numFmtId="49" fontId="53" fillId="25" borderId="0" xfId="0" applyNumberFormat="1" applyFont="1" applyFill="1" applyAlignment="1" applyProtection="1">
      <alignment horizontal="center" vertical="center"/>
    </xf>
    <xf numFmtId="0" fontId="53" fillId="25" borderId="0" xfId="0" applyFont="1" applyFill="1" applyProtection="1">
      <alignment vertical="center"/>
    </xf>
    <xf numFmtId="0" fontId="59" fillId="25" borderId="0" xfId="0" applyFont="1" applyFill="1" applyAlignment="1" applyProtection="1">
      <alignment vertical="center" wrapText="1"/>
    </xf>
    <xf numFmtId="0" fontId="53" fillId="25" borderId="0" xfId="0" applyFont="1" applyFill="1" applyAlignment="1" applyProtection="1">
      <alignment vertical="center" wrapText="1"/>
    </xf>
    <xf numFmtId="0" fontId="59" fillId="25" borderId="0" xfId="0" applyFont="1" applyFill="1" applyAlignment="1" applyProtection="1">
      <alignment horizontal="left" vertical="center"/>
    </xf>
    <xf numFmtId="0" fontId="46" fillId="25" borderId="0" xfId="0" applyFont="1" applyFill="1" applyAlignment="1" applyProtection="1">
      <alignment horizontal="left" vertical="center" wrapText="1"/>
    </xf>
    <xf numFmtId="0" fontId="80" fillId="0" borderId="0" xfId="0" applyFont="1" applyProtection="1">
      <alignment vertical="center"/>
    </xf>
    <xf numFmtId="0" fontId="50" fillId="0" borderId="92" xfId="0" applyFont="1" applyBorder="1" applyAlignment="1" applyProtection="1">
      <alignment horizontal="center" vertical="center" wrapText="1"/>
    </xf>
    <xf numFmtId="0" fontId="51" fillId="25" borderId="18" xfId="0" applyFont="1" applyFill="1" applyBorder="1" applyProtection="1">
      <alignment vertical="center"/>
    </xf>
    <xf numFmtId="0" fontId="61" fillId="25" borderId="0" xfId="0" applyFont="1" applyFill="1" applyProtection="1">
      <alignment vertical="center"/>
    </xf>
    <xf numFmtId="0" fontId="44" fillId="25" borderId="166" xfId="0" applyFont="1" applyFill="1" applyBorder="1" applyAlignment="1" applyProtection="1">
      <alignment horizontal="center" vertical="center"/>
    </xf>
    <xf numFmtId="0" fontId="44" fillId="25" borderId="20" xfId="0" applyFont="1" applyFill="1" applyBorder="1" applyProtection="1">
      <alignment vertical="center"/>
    </xf>
    <xf numFmtId="176" fontId="44" fillId="25" borderId="0" xfId="0" applyNumberFormat="1" applyFont="1" applyFill="1" applyAlignment="1" applyProtection="1">
      <alignment vertical="center" wrapText="1"/>
    </xf>
    <xf numFmtId="0" fontId="46" fillId="25" borderId="16" xfId="0" applyFont="1" applyFill="1" applyBorder="1" applyProtection="1">
      <alignment vertical="center"/>
    </xf>
    <xf numFmtId="0" fontId="44" fillId="25" borderId="70" xfId="0" applyFont="1" applyFill="1" applyBorder="1" applyAlignment="1" applyProtection="1">
      <alignment horizontal="center" vertical="center"/>
    </xf>
    <xf numFmtId="0" fontId="44" fillId="25" borderId="49" xfId="0" applyFont="1" applyFill="1" applyBorder="1" applyProtection="1">
      <alignment vertical="center"/>
    </xf>
    <xf numFmtId="176" fontId="44" fillId="25" borderId="49" xfId="0" applyNumberFormat="1" applyFont="1" applyFill="1" applyBorder="1" applyAlignment="1" applyProtection="1">
      <alignment vertical="center" wrapText="1"/>
    </xf>
    <xf numFmtId="0" fontId="50" fillId="25" borderId="49" xfId="0" applyFont="1" applyFill="1" applyBorder="1" applyProtection="1">
      <alignment vertical="center"/>
    </xf>
    <xf numFmtId="0" fontId="46" fillId="25" borderId="49" xfId="0" applyFont="1" applyFill="1" applyBorder="1" applyProtection="1">
      <alignment vertical="center"/>
    </xf>
    <xf numFmtId="0" fontId="46" fillId="25" borderId="61" xfId="0" applyFont="1" applyFill="1" applyBorder="1" applyProtection="1">
      <alignment vertical="center"/>
    </xf>
    <xf numFmtId="0" fontId="44" fillId="25" borderId="135" xfId="0" applyFont="1" applyFill="1" applyBorder="1" applyAlignment="1" applyProtection="1">
      <alignment horizontal="center" vertical="center"/>
    </xf>
    <xf numFmtId="0" fontId="44" fillId="25" borderId="127" xfId="0" applyFont="1" applyFill="1" applyBorder="1" applyProtection="1">
      <alignment vertical="center"/>
    </xf>
    <xf numFmtId="0" fontId="44" fillId="25" borderId="18" xfId="0" applyFont="1" applyFill="1" applyBorder="1" applyAlignment="1" applyProtection="1">
      <alignment vertical="center" wrapText="1"/>
    </xf>
    <xf numFmtId="176" fontId="44" fillId="25" borderId="18" xfId="0" applyNumberFormat="1" applyFont="1" applyFill="1" applyBorder="1" applyAlignment="1" applyProtection="1">
      <alignment vertical="center" wrapText="1"/>
    </xf>
    <xf numFmtId="0" fontId="46" fillId="25" borderId="18" xfId="0" applyFont="1" applyFill="1" applyBorder="1" applyProtection="1">
      <alignment vertical="center"/>
    </xf>
    <xf numFmtId="0" fontId="46" fillId="25" borderId="63" xfId="0" applyFont="1" applyFill="1" applyBorder="1" applyProtection="1">
      <alignment vertical="center"/>
    </xf>
    <xf numFmtId="0" fontId="29" fillId="0" borderId="0" xfId="0" applyFont="1" applyAlignment="1" applyProtection="1">
      <alignment vertical="center" wrapText="1"/>
    </xf>
    <xf numFmtId="176" fontId="51" fillId="25" borderId="0" xfId="0" applyNumberFormat="1" applyFont="1" applyFill="1" applyProtection="1">
      <alignment vertical="center"/>
    </xf>
    <xf numFmtId="0" fontId="61" fillId="25" borderId="0" xfId="0" applyFont="1" applyFill="1" applyAlignment="1" applyProtection="1">
      <alignment horizontal="left" vertical="center" wrapText="1"/>
    </xf>
    <xf numFmtId="176" fontId="51" fillId="25" borderId="101" xfId="0" applyNumberFormat="1" applyFont="1" applyFill="1" applyBorder="1" applyProtection="1">
      <alignment vertical="center"/>
    </xf>
    <xf numFmtId="176" fontId="51" fillId="25" borderId="18" xfId="0" applyNumberFormat="1" applyFont="1" applyFill="1" applyBorder="1" applyProtection="1">
      <alignment vertical="center"/>
    </xf>
    <xf numFmtId="0" fontId="45" fillId="0" borderId="0" xfId="0" applyFont="1" applyAlignment="1" applyProtection="1">
      <alignment vertical="center" wrapText="1"/>
    </xf>
    <xf numFmtId="0" fontId="44" fillId="25" borderId="60" xfId="0" applyFont="1" applyFill="1" applyBorder="1" applyProtection="1">
      <alignment vertical="center"/>
    </xf>
    <xf numFmtId="0" fontId="63" fillId="25" borderId="49" xfId="0" applyFont="1" applyFill="1" applyBorder="1" applyAlignment="1" applyProtection="1">
      <alignment vertical="center" wrapText="1"/>
    </xf>
    <xf numFmtId="0" fontId="61" fillId="25" borderId="16" xfId="0" applyFont="1" applyFill="1" applyBorder="1" applyProtection="1">
      <alignment vertical="center"/>
    </xf>
    <xf numFmtId="0" fontId="44" fillId="0" borderId="62" xfId="0" applyFont="1" applyBorder="1" applyAlignment="1" applyProtection="1">
      <alignment horizontal="center" vertical="center"/>
    </xf>
    <xf numFmtId="0" fontId="44" fillId="25" borderId="62" xfId="0" applyFont="1" applyFill="1" applyBorder="1" applyAlignment="1" applyProtection="1">
      <alignment vertical="center" wrapText="1"/>
    </xf>
    <xf numFmtId="0" fontId="46" fillId="25" borderId="19" xfId="0" applyFont="1" applyFill="1" applyBorder="1" applyProtection="1">
      <alignment vertical="center"/>
    </xf>
    <xf numFmtId="0" fontId="50" fillId="25" borderId="0" xfId="0" applyFont="1" applyFill="1" applyAlignment="1" applyProtection="1">
      <alignment horizontal="left" vertical="center"/>
    </xf>
    <xf numFmtId="0" fontId="51" fillId="0" borderId="0" xfId="0" applyFont="1" applyAlignment="1" applyProtection="1">
      <alignment horizontal="center" vertical="center"/>
    </xf>
    <xf numFmtId="0" fontId="101" fillId="30" borderId="186" xfId="0" applyFont="1" applyFill="1" applyBorder="1" applyAlignment="1" applyProtection="1">
      <alignment horizontal="center" vertical="center" shrinkToFit="1"/>
    </xf>
    <xf numFmtId="0" fontId="61" fillId="25" borderId="86" xfId="0" applyFont="1" applyFill="1" applyBorder="1" applyProtection="1">
      <alignment vertical="center"/>
    </xf>
    <xf numFmtId="0" fontId="64" fillId="25" borderId="0" xfId="0" applyFont="1" applyFill="1" applyProtection="1">
      <alignment vertical="center"/>
    </xf>
    <xf numFmtId="0" fontId="64" fillId="25" borderId="18" xfId="0" applyFont="1" applyFill="1" applyBorder="1" applyProtection="1">
      <alignment vertical="center"/>
    </xf>
    <xf numFmtId="0" fontId="46" fillId="25" borderId="81" xfId="0" applyFont="1" applyFill="1" applyBorder="1" applyAlignment="1" applyProtection="1">
      <alignment horizontal="center" vertical="center" wrapText="1"/>
    </xf>
    <xf numFmtId="176" fontId="51" fillId="25" borderId="33" xfId="0" applyNumberFormat="1" applyFont="1" applyFill="1" applyBorder="1" applyProtection="1">
      <alignment vertical="center"/>
    </xf>
    <xf numFmtId="0" fontId="50" fillId="33" borderId="124" xfId="0" applyFont="1" applyFill="1" applyBorder="1" applyAlignment="1" applyProtection="1">
      <alignment horizontal="center" vertical="center"/>
    </xf>
    <xf numFmtId="0" fontId="62" fillId="0" borderId="125" xfId="0" applyFont="1" applyBorder="1" applyAlignment="1" applyProtection="1">
      <alignment horizontal="center" vertical="center"/>
    </xf>
    <xf numFmtId="0" fontId="50" fillId="33" borderId="126" xfId="0" applyFont="1" applyFill="1" applyBorder="1" applyAlignment="1" applyProtection="1">
      <alignment horizontal="center" vertical="center"/>
    </xf>
    <xf numFmtId="0" fontId="62" fillId="0" borderId="48" xfId="0" applyFont="1" applyBorder="1" applyAlignment="1" applyProtection="1">
      <alignment horizontal="center" vertical="center"/>
    </xf>
    <xf numFmtId="0" fontId="50" fillId="33" borderId="164" xfId="0" applyFont="1" applyFill="1" applyBorder="1" applyAlignment="1" applyProtection="1">
      <alignment horizontal="center" vertical="center"/>
    </xf>
    <xf numFmtId="0" fontId="62" fillId="0" borderId="165" xfId="0" applyFont="1" applyBorder="1" applyAlignment="1" applyProtection="1">
      <alignment horizontal="center" vertical="center"/>
    </xf>
    <xf numFmtId="0" fontId="44" fillId="25" borderId="105" xfId="0" applyFont="1" applyFill="1" applyBorder="1" applyAlignment="1" applyProtection="1">
      <alignment horizontal="center" vertical="center"/>
    </xf>
    <xf numFmtId="0" fontId="46" fillId="25" borderId="20" xfId="0" applyFont="1" applyFill="1" applyBorder="1" applyAlignment="1" applyProtection="1">
      <alignment vertical="center" wrapText="1"/>
    </xf>
    <xf numFmtId="0" fontId="56" fillId="0" borderId="0" xfId="0" applyFont="1" applyAlignment="1" applyProtection="1">
      <alignment vertical="center" wrapText="1"/>
    </xf>
    <xf numFmtId="0" fontId="46" fillId="25" borderId="0" xfId="0" applyFont="1" applyFill="1" applyAlignment="1" applyProtection="1">
      <alignment horizontal="center" vertical="center" wrapText="1"/>
    </xf>
    <xf numFmtId="0" fontId="49" fillId="30" borderId="102" xfId="0" applyFont="1" applyFill="1" applyBorder="1" applyAlignment="1" applyProtection="1">
      <alignment vertical="center" wrapText="1"/>
    </xf>
    <xf numFmtId="0" fontId="101" fillId="30" borderId="186" xfId="0" applyFont="1" applyFill="1" applyBorder="1" applyAlignment="1" applyProtection="1">
      <alignment horizontal="center" vertical="center"/>
    </xf>
    <xf numFmtId="0" fontId="81" fillId="0" borderId="0" xfId="0" applyFont="1" applyProtection="1">
      <alignment vertical="center"/>
    </xf>
    <xf numFmtId="0" fontId="61" fillId="0" borderId="0" xfId="0" applyFont="1" applyProtection="1">
      <alignment vertical="center"/>
    </xf>
    <xf numFmtId="0" fontId="46" fillId="0" borderId="0" xfId="0" applyFont="1" applyAlignment="1" applyProtection="1">
      <alignment horizontal="left" vertical="top" wrapText="1"/>
    </xf>
    <xf numFmtId="0" fontId="44" fillId="25" borderId="40" xfId="0" applyFont="1" applyFill="1" applyBorder="1" applyProtection="1">
      <alignment vertical="center"/>
    </xf>
    <xf numFmtId="0" fontId="51" fillId="0" borderId="41" xfId="0" applyFont="1" applyBorder="1" applyProtection="1">
      <alignment vertical="center"/>
    </xf>
    <xf numFmtId="0" fontId="51" fillId="25" borderId="41" xfId="0" applyFont="1" applyFill="1" applyBorder="1" applyProtection="1">
      <alignment vertical="center"/>
    </xf>
    <xf numFmtId="0" fontId="46" fillId="25" borderId="41" xfId="0" applyFont="1" applyFill="1" applyBorder="1" applyProtection="1">
      <alignment vertical="center"/>
    </xf>
    <xf numFmtId="0" fontId="46" fillId="25" borderId="41" xfId="0" applyFont="1" applyFill="1" applyBorder="1" applyAlignment="1" applyProtection="1">
      <alignment vertical="center" wrapText="1"/>
    </xf>
    <xf numFmtId="0" fontId="50" fillId="25" borderId="42" xfId="0" applyFont="1" applyFill="1" applyBorder="1" applyAlignment="1" applyProtection="1">
      <alignment horizontal="center" vertical="center"/>
    </xf>
    <xf numFmtId="177" fontId="29" fillId="0" borderId="0" xfId="0" applyNumberFormat="1" applyFont="1" applyProtection="1">
      <alignment vertical="center"/>
    </xf>
    <xf numFmtId="180" fontId="29" fillId="0" borderId="0" xfId="0" applyNumberFormat="1" applyFont="1" applyProtection="1">
      <alignment vertical="center"/>
    </xf>
    <xf numFmtId="0" fontId="52" fillId="0" borderId="0" xfId="0" applyFont="1" applyProtection="1">
      <alignment vertical="center"/>
    </xf>
    <xf numFmtId="0" fontId="50" fillId="33" borderId="169" xfId="0" applyFont="1" applyFill="1" applyBorder="1" applyAlignment="1" applyProtection="1">
      <alignment horizontal="center" vertical="center"/>
    </xf>
    <xf numFmtId="0" fontId="50" fillId="33" borderId="170" xfId="0" applyFont="1" applyFill="1" applyBorder="1" applyAlignment="1" applyProtection="1">
      <alignment horizontal="center" vertical="center"/>
    </xf>
    <xf numFmtId="0" fontId="44" fillId="25" borderId="0" xfId="0" applyFont="1" applyFill="1" applyAlignment="1" applyProtection="1">
      <alignment vertical="top"/>
    </xf>
    <xf numFmtId="177" fontId="29" fillId="25" borderId="0" xfId="0" applyNumberFormat="1" applyFont="1" applyFill="1" applyProtection="1">
      <alignment vertical="center"/>
    </xf>
    <xf numFmtId="0" fontId="44" fillId="25" borderId="163" xfId="0" applyFont="1" applyFill="1" applyBorder="1" applyProtection="1">
      <alignment vertical="center"/>
    </xf>
    <xf numFmtId="0" fontId="50" fillId="33" borderId="171" xfId="0" applyFont="1" applyFill="1" applyBorder="1" applyAlignment="1" applyProtection="1">
      <alignment horizontal="center" vertical="center"/>
    </xf>
    <xf numFmtId="0" fontId="46" fillId="25" borderId="86" xfId="0" applyFont="1" applyFill="1" applyBorder="1" applyProtection="1">
      <alignment vertical="center"/>
    </xf>
    <xf numFmtId="0" fontId="44" fillId="25" borderId="86" xfId="0" applyFont="1" applyFill="1" applyBorder="1" applyAlignment="1" applyProtection="1">
      <alignment vertical="top"/>
    </xf>
    <xf numFmtId="0" fontId="44" fillId="25" borderId="162" xfId="0" applyFont="1" applyFill="1" applyBorder="1" applyProtection="1">
      <alignment vertical="center"/>
    </xf>
    <xf numFmtId="0" fontId="29" fillId="25" borderId="0" xfId="0" applyFont="1" applyFill="1" applyAlignment="1" applyProtection="1">
      <alignment horizontal="left" vertical="top" wrapText="1"/>
    </xf>
    <xf numFmtId="0" fontId="29" fillId="25" borderId="0" xfId="0" applyFont="1" applyFill="1" applyAlignment="1" applyProtection="1">
      <alignment horizontal="left" vertical="top"/>
    </xf>
    <xf numFmtId="0" fontId="100" fillId="30" borderId="186" xfId="0" applyFont="1" applyFill="1" applyBorder="1" applyAlignment="1" applyProtection="1">
      <alignment horizontal="center" vertical="center" shrinkToFit="1"/>
    </xf>
    <xf numFmtId="0" fontId="49" fillId="29" borderId="102" xfId="0" applyFont="1" applyFill="1" applyBorder="1" applyAlignment="1" applyProtection="1">
      <alignment vertical="center" wrapText="1"/>
    </xf>
    <xf numFmtId="0" fontId="45" fillId="29" borderId="102" xfId="0" applyFont="1" applyFill="1" applyBorder="1" applyAlignment="1" applyProtection="1">
      <alignment vertical="center" wrapText="1"/>
    </xf>
    <xf numFmtId="49" fontId="44" fillId="25" borderId="18" xfId="0" applyNumberFormat="1" applyFont="1" applyFill="1" applyBorder="1" applyAlignment="1" applyProtection="1">
      <alignment horizontal="left" vertical="center" wrapText="1"/>
    </xf>
    <xf numFmtId="0" fontId="45" fillId="29" borderId="109" xfId="0" applyFont="1" applyFill="1" applyBorder="1" applyAlignment="1" applyProtection="1">
      <alignment horizontal="center" vertical="center"/>
    </xf>
    <xf numFmtId="0" fontId="101" fillId="0" borderId="186" xfId="0" applyFont="1" applyBorder="1" applyAlignment="1" applyProtection="1">
      <alignment horizontal="center" vertical="center" shrinkToFit="1"/>
    </xf>
    <xf numFmtId="0" fontId="46" fillId="33" borderId="73" xfId="0" applyFont="1" applyFill="1" applyBorder="1" applyAlignment="1" applyProtection="1">
      <alignment horizontal="center" vertical="center" wrapText="1"/>
    </xf>
    <xf numFmtId="0" fontId="46" fillId="33" borderId="65" xfId="0" applyFont="1" applyFill="1" applyBorder="1" applyAlignment="1" applyProtection="1">
      <alignment horizontal="center" vertical="center" wrapText="1"/>
    </xf>
    <xf numFmtId="0" fontId="46" fillId="25" borderId="52" xfId="0" applyFont="1" applyFill="1" applyBorder="1" applyAlignment="1" applyProtection="1">
      <alignment vertical="center" wrapText="1"/>
    </xf>
    <xf numFmtId="0" fontId="46" fillId="33" borderId="89" xfId="0" applyFont="1" applyFill="1" applyBorder="1" applyAlignment="1" applyProtection="1">
      <alignment horizontal="center" vertical="center" wrapText="1"/>
    </xf>
    <xf numFmtId="0" fontId="46" fillId="25" borderId="98" xfId="0" applyFont="1" applyFill="1" applyBorder="1" applyAlignment="1" applyProtection="1">
      <alignment vertical="center" wrapText="1"/>
    </xf>
    <xf numFmtId="0" fontId="46" fillId="33" borderId="90" xfId="0" applyFont="1" applyFill="1" applyBorder="1" applyAlignment="1" applyProtection="1">
      <alignment horizontal="center" vertical="center" wrapText="1"/>
    </xf>
    <xf numFmtId="0" fontId="46" fillId="25" borderId="84" xfId="0" applyFont="1" applyFill="1" applyBorder="1" applyAlignment="1" applyProtection="1">
      <alignment vertical="center" wrapText="1"/>
    </xf>
    <xf numFmtId="0" fontId="46" fillId="25" borderId="85" xfId="0" applyFont="1" applyFill="1" applyBorder="1" applyAlignment="1" applyProtection="1">
      <alignment vertical="center" wrapText="1"/>
    </xf>
    <xf numFmtId="0" fontId="46" fillId="33" borderId="97" xfId="0" applyFont="1" applyFill="1" applyBorder="1" applyAlignment="1" applyProtection="1">
      <alignment horizontal="center" vertical="center" wrapText="1"/>
    </xf>
    <xf numFmtId="0" fontId="46" fillId="33" borderId="91" xfId="0" applyFont="1" applyFill="1" applyBorder="1" applyAlignment="1" applyProtection="1">
      <alignment horizontal="center" vertical="center" wrapText="1"/>
    </xf>
    <xf numFmtId="0" fontId="46" fillId="25" borderId="108" xfId="0" applyFont="1" applyFill="1" applyBorder="1" applyAlignment="1" applyProtection="1">
      <alignment vertical="center" wrapText="1"/>
    </xf>
    <xf numFmtId="0" fontId="46" fillId="25" borderId="36" xfId="0" applyFont="1" applyFill="1" applyBorder="1" applyAlignment="1" applyProtection="1">
      <alignment vertical="center" wrapText="1"/>
    </xf>
    <xf numFmtId="0" fontId="51" fillId="25" borderId="0" xfId="0" applyFont="1" applyFill="1" applyAlignment="1" applyProtection="1">
      <alignment vertical="top"/>
    </xf>
    <xf numFmtId="0" fontId="46" fillId="33" borderId="74" xfId="0" applyFont="1" applyFill="1" applyBorder="1" applyAlignment="1" applyProtection="1">
      <alignment horizontal="center" vertical="center" wrapText="1"/>
    </xf>
    <xf numFmtId="0" fontId="46" fillId="25" borderId="162" xfId="0" applyFont="1" applyFill="1" applyBorder="1" applyAlignment="1" applyProtection="1">
      <alignment vertical="center" wrapText="1"/>
    </xf>
    <xf numFmtId="49" fontId="44" fillId="25" borderId="0" xfId="0" applyNumberFormat="1" applyFont="1" applyFill="1" applyAlignment="1" applyProtection="1">
      <alignment horizontal="left" vertical="center" wrapText="1"/>
    </xf>
    <xf numFmtId="0" fontId="51" fillId="0" borderId="0" xfId="0" applyFont="1" applyAlignment="1" applyProtection="1">
      <alignment vertical="top"/>
    </xf>
    <xf numFmtId="0" fontId="37" fillId="25" borderId="0" xfId="0" applyFont="1" applyFill="1" applyAlignment="1" applyProtection="1">
      <alignment vertical="top"/>
    </xf>
    <xf numFmtId="0" fontId="37" fillId="0" borderId="0" xfId="0" applyFont="1" applyAlignment="1" applyProtection="1">
      <alignment vertical="top"/>
    </xf>
    <xf numFmtId="0" fontId="40" fillId="0" borderId="0" xfId="0" applyFont="1" applyProtection="1">
      <alignment vertical="center"/>
    </xf>
    <xf numFmtId="49" fontId="44" fillId="25" borderId="0" xfId="0" applyNumberFormat="1" applyFont="1" applyFill="1" applyAlignment="1" applyProtection="1">
      <alignment horizontal="center" vertical="center"/>
    </xf>
    <xf numFmtId="49" fontId="33" fillId="25" borderId="0" xfId="0" applyNumberFormat="1" applyFont="1" applyFill="1" applyProtection="1">
      <alignment vertical="center"/>
    </xf>
    <xf numFmtId="0" fontId="66" fillId="25" borderId="0" xfId="0" applyFont="1" applyFill="1" applyAlignment="1" applyProtection="1">
      <alignment vertical="center" wrapText="1"/>
    </xf>
    <xf numFmtId="0" fontId="58" fillId="0" borderId="0" xfId="0" applyFont="1" applyProtection="1">
      <alignment vertical="center"/>
    </xf>
    <xf numFmtId="0" fontId="56" fillId="25" borderId="0" xfId="0" applyFont="1" applyFill="1" applyAlignment="1" applyProtection="1">
      <alignment horizontal="center" vertical="top"/>
    </xf>
    <xf numFmtId="0" fontId="44" fillId="25" borderId="0" xfId="0" applyFont="1" applyFill="1" applyAlignment="1" applyProtection="1">
      <alignment horizontal="left" vertical="top"/>
    </xf>
    <xf numFmtId="0" fontId="56" fillId="25" borderId="0" xfId="0" applyFont="1" applyFill="1" applyProtection="1">
      <alignment vertical="center"/>
    </xf>
    <xf numFmtId="0" fontId="46" fillId="25" borderId="0" xfId="0" applyFont="1" applyFill="1" applyAlignment="1" applyProtection="1">
      <alignment horizontal="right" vertical="top" wrapText="1"/>
    </xf>
    <xf numFmtId="0" fontId="66" fillId="25" borderId="40" xfId="0" applyFont="1" applyFill="1" applyBorder="1" applyAlignment="1" applyProtection="1">
      <alignment vertical="center" wrapText="1"/>
    </xf>
    <xf numFmtId="0" fontId="66" fillId="25" borderId="41" xfId="0" applyFont="1" applyFill="1" applyBorder="1" applyAlignment="1" applyProtection="1">
      <alignment vertical="center" wrapText="1"/>
    </xf>
    <xf numFmtId="0" fontId="66" fillId="25" borderId="42" xfId="0" applyFont="1" applyFill="1" applyBorder="1" applyAlignment="1" applyProtection="1">
      <alignment vertical="center" wrapText="1"/>
    </xf>
    <xf numFmtId="0" fontId="66" fillId="25" borderId="33" xfId="0" applyFont="1" applyFill="1" applyBorder="1" applyAlignment="1" applyProtection="1">
      <alignment vertical="center" wrapText="1"/>
    </xf>
    <xf numFmtId="0" fontId="66" fillId="25" borderId="36" xfId="0" applyFont="1" applyFill="1" applyBorder="1" applyAlignment="1" applyProtection="1">
      <alignment vertical="center" wrapText="1"/>
    </xf>
    <xf numFmtId="0" fontId="66" fillId="25" borderId="33" xfId="0" applyFont="1" applyFill="1" applyBorder="1" applyProtection="1">
      <alignment vertical="center"/>
    </xf>
    <xf numFmtId="0" fontId="66" fillId="25" borderId="0" xfId="0" applyFont="1" applyFill="1" applyProtection="1">
      <alignment vertical="center"/>
    </xf>
    <xf numFmtId="0" fontId="66" fillId="25" borderId="0" xfId="0" applyFont="1" applyFill="1" applyAlignment="1" applyProtection="1">
      <alignment vertical="center" shrinkToFit="1"/>
    </xf>
    <xf numFmtId="0" fontId="66" fillId="25" borderId="36" xfId="0" applyFont="1" applyFill="1" applyBorder="1" applyAlignment="1" applyProtection="1">
      <alignment vertical="center" shrinkToFit="1"/>
    </xf>
    <xf numFmtId="0" fontId="67" fillId="25" borderId="0" xfId="0" applyFont="1" applyFill="1" applyProtection="1">
      <alignment vertical="center"/>
    </xf>
    <xf numFmtId="0" fontId="67" fillId="0" borderId="0" xfId="0" applyFont="1" applyProtection="1">
      <alignment vertical="center"/>
    </xf>
    <xf numFmtId="0" fontId="68" fillId="25" borderId="0" xfId="0" applyFont="1" applyFill="1" applyProtection="1">
      <alignment vertical="center"/>
    </xf>
    <xf numFmtId="0" fontId="68" fillId="25" borderId="36" xfId="0" applyFont="1" applyFill="1" applyBorder="1" applyProtection="1">
      <alignment vertical="center"/>
    </xf>
    <xf numFmtId="0" fontId="69" fillId="25" borderId="88" xfId="0" applyFont="1" applyFill="1" applyBorder="1" applyProtection="1">
      <alignment vertical="center"/>
    </xf>
    <xf numFmtId="0" fontId="67" fillId="25" borderId="86" xfId="0" applyFont="1" applyFill="1" applyBorder="1" applyProtection="1">
      <alignment vertical="center"/>
    </xf>
    <xf numFmtId="0" fontId="69" fillId="25" borderId="86" xfId="0" applyFont="1" applyFill="1" applyBorder="1" applyProtection="1">
      <alignment vertical="center"/>
    </xf>
    <xf numFmtId="0" fontId="69" fillId="25" borderId="86" xfId="0" applyFont="1" applyFill="1" applyBorder="1" applyAlignment="1" applyProtection="1">
      <alignment horizontal="center" vertical="center"/>
    </xf>
    <xf numFmtId="0" fontId="70" fillId="25" borderId="86" xfId="0" applyFont="1" applyFill="1" applyBorder="1" applyAlignment="1" applyProtection="1">
      <alignment vertical="center" shrinkToFit="1"/>
    </xf>
    <xf numFmtId="0" fontId="67" fillId="25" borderId="86" xfId="0" applyFont="1" applyFill="1" applyBorder="1" applyAlignment="1" applyProtection="1">
      <alignment horizontal="center" vertical="center"/>
    </xf>
    <xf numFmtId="0" fontId="67" fillId="25" borderId="87" xfId="0" applyFont="1" applyFill="1" applyBorder="1" applyProtection="1">
      <alignment vertical="center"/>
    </xf>
    <xf numFmtId="0" fontId="69" fillId="25" borderId="0" xfId="0" applyFont="1" applyFill="1" applyProtection="1">
      <alignment vertical="center"/>
    </xf>
    <xf numFmtId="0" fontId="69" fillId="25" borderId="0" xfId="0" applyFont="1" applyFill="1" applyAlignment="1" applyProtection="1">
      <alignment horizontal="center" vertical="center"/>
    </xf>
    <xf numFmtId="0" fontId="70" fillId="25" borderId="0" xfId="0" applyFont="1" applyFill="1" applyAlignment="1" applyProtection="1">
      <alignment vertical="center" shrinkToFit="1"/>
    </xf>
    <xf numFmtId="0" fontId="67" fillId="25" borderId="0" xfId="0" applyFont="1" applyFill="1" applyAlignment="1" applyProtection="1">
      <alignment horizontal="center" vertical="center"/>
    </xf>
    <xf numFmtId="0" fontId="39" fillId="25" borderId="0" xfId="0" applyFont="1" applyFill="1" applyProtection="1">
      <alignment vertical="center"/>
    </xf>
    <xf numFmtId="0" fontId="58" fillId="29" borderId="10" xfId="0" applyFont="1" applyFill="1" applyBorder="1" applyAlignment="1" applyProtection="1">
      <alignment horizontal="center"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29" fillId="0" borderId="70" xfId="0" quotePrefix="1" applyFont="1" applyBorder="1" applyProtection="1">
      <alignment vertical="center"/>
    </xf>
    <xf numFmtId="0" fontId="85" fillId="25" borderId="0" xfId="0" applyFont="1" applyFill="1" applyAlignment="1" applyProtection="1">
      <alignment vertical="top" wrapText="1"/>
    </xf>
    <xf numFmtId="0" fontId="85" fillId="25" borderId="0" xfId="0" applyFont="1" applyFill="1" applyAlignment="1" applyProtection="1">
      <alignment vertical="center" wrapText="1"/>
    </xf>
    <xf numFmtId="0" fontId="85"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2" fillId="0" borderId="0" xfId="0" applyFont="1" applyProtection="1">
      <alignment vertical="center"/>
    </xf>
    <xf numFmtId="0" fontId="42" fillId="0" borderId="0" xfId="0" applyFont="1" applyProtection="1">
      <alignment vertical="center"/>
    </xf>
    <xf numFmtId="0" fontId="36" fillId="0" borderId="0" xfId="0" applyFont="1" applyProtection="1">
      <alignment vertical="center"/>
    </xf>
    <xf numFmtId="0" fontId="38" fillId="0" borderId="0" xfId="0" applyFont="1" applyProtection="1">
      <alignment vertical="center"/>
    </xf>
    <xf numFmtId="0" fontId="41" fillId="0" borderId="0" xfId="0" applyFont="1" applyProtection="1">
      <alignment vertical="center"/>
    </xf>
    <xf numFmtId="0" fontId="94" fillId="0" borderId="0" xfId="0" applyFont="1" applyProtection="1">
      <alignment vertical="center"/>
    </xf>
    <xf numFmtId="0" fontId="33" fillId="0" borderId="12" xfId="0" applyFont="1" applyBorder="1" applyAlignment="1" applyProtection="1">
      <alignment horizontal="center" vertical="center"/>
    </xf>
    <xf numFmtId="0" fontId="36" fillId="0" borderId="0" xfId="0" applyFont="1" applyAlignment="1" applyProtection="1">
      <alignment horizontal="right" vertical="top" wrapText="1"/>
    </xf>
    <xf numFmtId="0" fontId="0" fillId="0" borderId="0" xfId="0" applyAlignment="1" applyProtection="1">
      <alignment vertical="center" wrapText="1"/>
    </xf>
    <xf numFmtId="0" fontId="33" fillId="0" borderId="13" xfId="0" applyFont="1" applyBorder="1" applyProtection="1">
      <alignment vertical="center"/>
    </xf>
    <xf numFmtId="0" fontId="33" fillId="0" borderId="75" xfId="0" applyFont="1" applyBorder="1" applyProtection="1">
      <alignment vertical="center"/>
    </xf>
    <xf numFmtId="0" fontId="33" fillId="0" borderId="27" xfId="0" applyFont="1" applyBorder="1" applyProtection="1">
      <alignment vertical="center"/>
    </xf>
    <xf numFmtId="0" fontId="33" fillId="0" borderId="25" xfId="0" applyFont="1" applyBorder="1" applyProtection="1">
      <alignment vertical="center"/>
    </xf>
    <xf numFmtId="0" fontId="33" fillId="0" borderId="30" xfId="0" applyFont="1" applyBorder="1" applyProtection="1">
      <alignment vertical="center"/>
    </xf>
    <xf numFmtId="0" fontId="33" fillId="0" borderId="82" xfId="0" applyFont="1" applyBorder="1" applyProtection="1">
      <alignment vertical="center"/>
    </xf>
    <xf numFmtId="0" fontId="33" fillId="0" borderId="75" xfId="0" applyFont="1" applyBorder="1" applyAlignment="1" applyProtection="1">
      <alignment vertical="center" shrinkToFit="1"/>
    </xf>
    <xf numFmtId="0" fontId="33" fillId="0" borderId="0" xfId="0" applyFont="1" applyAlignment="1" applyProtection="1">
      <alignment horizontal="center" vertical="center" wrapText="1"/>
    </xf>
    <xf numFmtId="0" fontId="37" fillId="0" borderId="0" xfId="0" applyFont="1" applyAlignment="1" applyProtection="1">
      <alignment vertical="top" wrapText="1"/>
    </xf>
    <xf numFmtId="0" fontId="33" fillId="0" borderId="82" xfId="0" applyFont="1" applyBorder="1" applyAlignment="1" applyProtection="1">
      <alignment horizontal="center" vertical="center"/>
    </xf>
    <xf numFmtId="176" fontId="48" fillId="0" borderId="144" xfId="0" applyNumberFormat="1" applyFont="1" applyBorder="1" applyProtection="1">
      <alignment vertical="center"/>
    </xf>
    <xf numFmtId="176" fontId="0" fillId="0" borderId="0" xfId="0" applyNumberFormat="1" applyProtection="1">
      <alignment vertical="center"/>
    </xf>
    <xf numFmtId="176" fontId="48" fillId="0" borderId="10" xfId="0" applyNumberFormat="1" applyFont="1" applyBorder="1" applyProtection="1">
      <alignment vertical="center"/>
    </xf>
    <xf numFmtId="179" fontId="0" fillId="0" borderId="0" xfId="0" applyNumberFormat="1" applyProtection="1">
      <alignment vertical="center"/>
    </xf>
    <xf numFmtId="176" fontId="48" fillId="0" borderId="28" xfId="0" applyNumberFormat="1" applyFont="1" applyBorder="1" applyProtection="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pplyProtection="1">
      <alignment vertical="center" shrinkToFit="1"/>
    </xf>
    <xf numFmtId="0" fontId="48" fillId="25" borderId="0" xfId="0" applyFont="1" applyFill="1" applyAlignment="1" applyProtection="1">
      <alignment vertical="center" shrinkToFit="1"/>
    </xf>
    <xf numFmtId="0" fontId="48" fillId="25" borderId="0" xfId="0" applyFont="1" applyFill="1" applyProtection="1">
      <alignment vertical="center"/>
    </xf>
    <xf numFmtId="181" fontId="71"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8" fillId="0" borderId="0" xfId="0" applyFont="1" applyAlignment="1" applyProtection="1">
      <alignment horizontal="center" vertical="center"/>
    </xf>
    <xf numFmtId="0" fontId="93" fillId="0" borderId="0" xfId="0" applyFont="1" applyProtection="1">
      <alignment vertical="center"/>
    </xf>
    <xf numFmtId="0" fontId="78" fillId="25" borderId="0" xfId="0" applyFont="1" applyFill="1" applyProtection="1">
      <alignment vertical="center"/>
    </xf>
    <xf numFmtId="177" fontId="79" fillId="25" borderId="0" xfId="0" applyNumberFormat="1" applyFont="1" applyFill="1" applyProtection="1">
      <alignment vertical="center"/>
    </xf>
    <xf numFmtId="177" fontId="42" fillId="25" borderId="0" xfId="0" applyNumberFormat="1" applyFont="1" applyFill="1" applyProtection="1">
      <alignment vertical="center"/>
    </xf>
    <xf numFmtId="181" fontId="48" fillId="25" borderId="0" xfId="0" applyNumberFormat="1" applyFont="1" applyFill="1" applyProtection="1">
      <alignment vertical="center"/>
    </xf>
    <xf numFmtId="0" fontId="33" fillId="25" borderId="0" xfId="0" applyFont="1" applyFill="1" applyAlignment="1" applyProtection="1">
      <alignment horizontal="center" vertical="center"/>
    </xf>
    <xf numFmtId="0" fontId="42" fillId="25" borderId="0" xfId="0" applyFont="1" applyFill="1" applyAlignment="1" applyProtection="1">
      <alignment horizontal="center" vertical="center"/>
    </xf>
    <xf numFmtId="0" fontId="42" fillId="25" borderId="0" xfId="0" applyFont="1" applyFill="1" applyAlignment="1" applyProtection="1">
      <alignment horizontal="center" vertical="center" shrinkToFit="1"/>
    </xf>
    <xf numFmtId="0" fontId="42" fillId="25" borderId="0" xfId="0" applyFont="1" applyFill="1" applyAlignment="1" applyProtection="1">
      <alignment horizontal="left" vertical="center" shrinkToFit="1"/>
    </xf>
    <xf numFmtId="0" fontId="42" fillId="25" borderId="0" xfId="0" applyFont="1" applyFill="1" applyAlignment="1" applyProtection="1">
      <alignment horizontal="left" vertical="center"/>
    </xf>
    <xf numFmtId="177" fontId="48" fillId="25" borderId="102" xfId="0" applyNumberFormat="1" applyFont="1" applyFill="1" applyBorder="1" applyProtection="1">
      <alignment vertical="center"/>
    </xf>
    <xf numFmtId="0" fontId="37" fillId="25" borderId="11" xfId="0" applyFont="1" applyFill="1" applyBorder="1" applyProtection="1">
      <alignment vertical="center"/>
    </xf>
    <xf numFmtId="0" fontId="48" fillId="25" borderId="0" xfId="0" applyFont="1" applyFill="1" applyAlignment="1" applyProtection="1">
      <alignment horizontal="center" vertical="center" shrinkToFit="1"/>
    </xf>
    <xf numFmtId="0" fontId="48" fillId="25" borderId="0" xfId="0" applyFont="1" applyFill="1" applyAlignment="1" applyProtection="1">
      <alignment horizontal="center" vertical="center"/>
    </xf>
    <xf numFmtId="181" fontId="48" fillId="25" borderId="0" xfId="0" applyNumberFormat="1" applyFont="1" applyFill="1" applyAlignment="1" applyProtection="1">
      <alignment horizontal="center" vertical="center"/>
    </xf>
    <xf numFmtId="181" fontId="48" fillId="25" borderId="0" xfId="0" applyNumberFormat="1" applyFont="1" applyFill="1" applyAlignment="1" applyProtection="1">
      <alignment horizontal="left" vertical="center"/>
    </xf>
    <xf numFmtId="0" fontId="95" fillId="0" borderId="0" xfId="0" applyFont="1" applyAlignment="1" applyProtection="1">
      <alignment horizontal="center" vertical="center" wrapText="1"/>
    </xf>
    <xf numFmtId="177" fontId="71" fillId="25" borderId="102" xfId="0" applyNumberFormat="1" applyFont="1" applyFill="1" applyBorder="1" applyProtection="1">
      <alignment vertical="center"/>
    </xf>
    <xf numFmtId="0" fontId="37"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8" fillId="25" borderId="0" xfId="0" applyFont="1" applyFill="1" applyAlignment="1" applyProtection="1">
      <alignment vertical="center" wrapText="1"/>
    </xf>
    <xf numFmtId="182" fontId="71" fillId="0" borderId="102" xfId="0" applyNumberFormat="1" applyFont="1" applyBorder="1" applyProtection="1">
      <alignment vertical="center"/>
    </xf>
    <xf numFmtId="0" fontId="95" fillId="0" borderId="186" xfId="0" applyFont="1" applyBorder="1" applyAlignment="1" applyProtection="1">
      <alignment horizontal="center" vertical="center" wrapText="1"/>
    </xf>
    <xf numFmtId="0" fontId="94" fillId="0" borderId="186" xfId="0" applyFont="1" applyBorder="1" applyAlignment="1" applyProtection="1">
      <alignment horizontal="center" vertical="center"/>
    </xf>
    <xf numFmtId="0" fontId="37"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1"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7" fillId="25" borderId="0" xfId="0" applyNumberFormat="1" applyFont="1" applyFill="1" applyProtection="1">
      <alignment vertical="center"/>
    </xf>
    <xf numFmtId="0" fontId="94" fillId="0" borderId="0" xfId="0" applyFont="1" applyAlignment="1" applyProtection="1">
      <alignment horizontal="center" vertical="center"/>
    </xf>
    <xf numFmtId="0" fontId="71" fillId="25" borderId="0" xfId="0" applyFont="1" applyFill="1" applyAlignment="1" applyProtection="1">
      <alignment horizontal="left" vertical="center" shrinkToFit="1"/>
    </xf>
    <xf numFmtId="0" fontId="71" fillId="25" borderId="0" xfId="0" applyFont="1" applyFill="1" applyAlignment="1" applyProtection="1">
      <alignment horizontal="left" vertical="center" wrapText="1"/>
    </xf>
    <xf numFmtId="182" fontId="37"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8" fillId="25" borderId="0" xfId="0" applyNumberFormat="1" applyFont="1" applyFill="1" applyAlignment="1" applyProtection="1">
      <alignment horizontal="right" vertical="center"/>
    </xf>
    <xf numFmtId="0" fontId="82" fillId="29" borderId="109" xfId="0" applyFont="1" applyFill="1" applyBorder="1" applyAlignment="1" applyProtection="1">
      <alignment horizontal="center" vertical="center" shrinkToFit="1"/>
    </xf>
    <xf numFmtId="0" fontId="82" fillId="30" borderId="102" xfId="0" applyFont="1" applyFill="1" applyBorder="1" applyAlignment="1" applyProtection="1">
      <alignment horizontal="center" vertical="center" shrinkToFit="1"/>
    </xf>
    <xf numFmtId="0" fontId="82" fillId="29" borderId="102" xfId="0" applyFont="1" applyFill="1" applyBorder="1" applyAlignment="1" applyProtection="1">
      <alignment horizontal="center" vertical="center"/>
    </xf>
    <xf numFmtId="0" fontId="37" fillId="0" borderId="102" xfId="0" applyFont="1" applyBorder="1" applyAlignment="1" applyProtection="1">
      <alignment vertical="center" wrapText="1"/>
    </xf>
    <xf numFmtId="0" fontId="48" fillId="25" borderId="103" xfId="0" applyFont="1" applyFill="1" applyBorder="1" applyAlignment="1" applyProtection="1">
      <alignment horizontal="center" vertical="center" wrapText="1"/>
    </xf>
    <xf numFmtId="0" fontId="71" fillId="0" borderId="21" xfId="0" applyFont="1" applyBorder="1" applyAlignment="1" applyProtection="1">
      <alignment horizontal="center" vertical="center" wrapText="1"/>
    </xf>
    <xf numFmtId="0" fontId="48" fillId="25" borderId="28" xfId="0" applyFont="1" applyFill="1" applyBorder="1" applyAlignment="1" applyProtection="1">
      <alignment horizontal="center" vertical="center" wrapText="1" shrinkToFit="1"/>
    </xf>
    <xf numFmtId="0" fontId="48" fillId="25" borderId="15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xf>
    <xf numFmtId="181" fontId="48" fillId="25" borderId="158" xfId="0" applyNumberFormat="1" applyFont="1" applyFill="1" applyBorder="1" applyAlignment="1" applyProtection="1">
      <alignment horizontal="center" vertical="center" wrapText="1"/>
    </xf>
    <xf numFmtId="181" fontId="71" fillId="0" borderId="50" xfId="0" applyNumberFormat="1" applyFont="1" applyBorder="1" applyAlignment="1" applyProtection="1">
      <alignment horizontal="center" vertical="center" wrapText="1"/>
    </xf>
    <xf numFmtId="0" fontId="71" fillId="0" borderId="28" xfId="0" applyFont="1" applyBorder="1" applyAlignment="1" applyProtection="1">
      <alignment horizontal="center" vertical="center" wrapText="1"/>
    </xf>
    <xf numFmtId="0" fontId="71" fillId="0" borderId="47" xfId="0" applyFont="1" applyBorder="1" applyAlignment="1" applyProtection="1">
      <alignment horizontal="center" vertical="center" wrapText="1"/>
    </xf>
    <xf numFmtId="0" fontId="71" fillId="0" borderId="55" xfId="0" applyFont="1" applyBorder="1" applyAlignment="1" applyProtection="1">
      <alignment horizontal="center" vertical="center" wrapText="1"/>
    </xf>
    <xf numFmtId="0" fontId="71" fillId="0" borderId="148"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94" fillId="0" borderId="186" xfId="0" applyFont="1" applyBorder="1" applyAlignment="1" applyProtection="1">
      <alignment vertical="center" wrapText="1"/>
    </xf>
    <xf numFmtId="0" fontId="94" fillId="0" borderId="189" xfId="0" applyFont="1" applyBorder="1" applyAlignment="1" applyProtection="1">
      <alignment vertical="center" wrapText="1"/>
    </xf>
    <xf numFmtId="0" fontId="94" fillId="0" borderId="188" xfId="0" applyFont="1" applyBorder="1" applyAlignment="1" applyProtection="1">
      <alignment vertical="center" wrapText="1"/>
    </xf>
    <xf numFmtId="0" fontId="94" fillId="0" borderId="187" xfId="0" applyFont="1" applyBorder="1" applyAlignment="1" applyProtection="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pplyProtection="1">
      <alignment vertical="center"/>
    </xf>
    <xf numFmtId="0" fontId="42" fillId="25" borderId="23" xfId="0" applyFont="1" applyFill="1" applyBorder="1" applyAlignment="1" applyProtection="1">
      <alignment horizontal="center" vertical="center"/>
    </xf>
    <xf numFmtId="0" fontId="33" fillId="25" borderId="23" xfId="0" applyFont="1" applyFill="1" applyBorder="1" applyProtection="1">
      <alignment vertical="center"/>
    </xf>
    <xf numFmtId="0" fontId="33" fillId="25" borderId="23" xfId="0" applyFont="1" applyFill="1" applyBorder="1" applyAlignment="1" applyProtection="1">
      <alignment horizontal="center" vertical="center"/>
    </xf>
    <xf numFmtId="181" fontId="48" fillId="0" borderId="103" xfId="0" applyNumberFormat="1" applyFont="1" applyBorder="1" applyProtection="1">
      <alignment vertical="center"/>
    </xf>
    <xf numFmtId="181" fontId="48" fillId="0" borderId="21" xfId="0" applyNumberFormat="1" applyFont="1" applyBorder="1" applyAlignment="1" applyProtection="1">
      <alignment horizontal="right" vertical="center"/>
    </xf>
    <xf numFmtId="181" fontId="48" fillId="0" borderId="179" xfId="0" applyNumberFormat="1" applyFont="1" applyBorder="1" applyProtection="1">
      <alignment vertical="center"/>
    </xf>
    <xf numFmtId="0" fontId="0" fillId="0" borderId="111" xfId="0" applyFont="1" applyFill="1" applyBorder="1" applyAlignment="1" applyProtection="1">
      <alignment vertical="center" wrapText="1"/>
    </xf>
    <xf numFmtId="0" fontId="93" fillId="0" borderId="186" xfId="0" applyFont="1" applyBorder="1" applyProtection="1">
      <alignment vertical="center"/>
    </xf>
    <xf numFmtId="0" fontId="94" fillId="0" borderId="186" xfId="0" applyFont="1" applyBorder="1" applyProtection="1">
      <alignment vertical="center"/>
    </xf>
    <xf numFmtId="0" fontId="94" fillId="0" borderId="189" xfId="0" applyFont="1" applyBorder="1" applyProtection="1">
      <alignment vertical="center"/>
    </xf>
    <xf numFmtId="0" fontId="94" fillId="0" borderId="188" xfId="0" applyFont="1" applyBorder="1" applyProtection="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pplyProtection="1">
      <alignment horizontal="center" vertical="center"/>
    </xf>
    <xf numFmtId="0" fontId="33" fillId="25" borderId="35" xfId="0" applyFont="1" applyFill="1" applyBorder="1" applyProtection="1">
      <alignment vertical="center"/>
    </xf>
    <xf numFmtId="0" fontId="33" fillId="25" borderId="35" xfId="0" applyFont="1" applyFill="1" applyBorder="1" applyAlignment="1" applyProtection="1">
      <alignment horizontal="center" vertical="center"/>
    </xf>
    <xf numFmtId="181" fontId="48" fillId="0" borderId="17" xfId="0" applyNumberFormat="1" applyFont="1" applyBorder="1" applyProtection="1">
      <alignment vertical="center"/>
    </xf>
    <xf numFmtId="181" fontId="48" fillId="0" borderId="92" xfId="0" applyNumberFormat="1" applyFont="1" applyBorder="1" applyAlignment="1" applyProtection="1">
      <alignment horizontal="right" vertical="center"/>
    </xf>
    <xf numFmtId="181" fontId="48" fillId="0" borderId="181" xfId="0" applyNumberFormat="1" applyFont="1" applyBorder="1" applyProtection="1">
      <alignment vertical="center"/>
    </xf>
    <xf numFmtId="0" fontId="0" fillId="0" borderId="112" xfId="0" applyFont="1" applyFill="1" applyBorder="1" applyAlignment="1" applyProtection="1">
      <alignment vertical="center" wrapText="1"/>
    </xf>
    <xf numFmtId="0" fontId="37" fillId="0" borderId="0" xfId="0" applyFont="1" applyAlignment="1" applyProtection="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pplyProtection="1">
      <alignment vertical="center"/>
    </xf>
    <xf numFmtId="0" fontId="42" fillId="25" borderId="46" xfId="0" applyFont="1" applyFill="1" applyBorder="1" applyAlignment="1" applyProtection="1">
      <alignment horizontal="center" vertical="center"/>
    </xf>
    <xf numFmtId="0" fontId="50" fillId="25" borderId="46" xfId="0" applyFont="1" applyFill="1" applyBorder="1" applyProtection="1">
      <alignment vertical="center"/>
    </xf>
    <xf numFmtId="0" fontId="33" fillId="25" borderId="46" xfId="0" applyFont="1" applyFill="1" applyBorder="1" applyProtection="1">
      <alignment vertical="center"/>
    </xf>
    <xf numFmtId="0" fontId="33" fillId="25" borderId="46" xfId="0" applyFont="1" applyFill="1" applyBorder="1" applyAlignment="1" applyProtection="1">
      <alignment horizontal="center" vertical="center"/>
    </xf>
    <xf numFmtId="181" fontId="48" fillId="0" borderId="158" xfId="0" applyNumberFormat="1" applyFont="1" applyBorder="1" applyProtection="1">
      <alignment vertical="center"/>
    </xf>
    <xf numFmtId="181" fontId="48" fillId="0" borderId="148" xfId="0" applyNumberFormat="1" applyFont="1" applyBorder="1" applyAlignment="1" applyProtection="1">
      <alignment horizontal="right" vertical="center"/>
    </xf>
    <xf numFmtId="181" fontId="48" fillId="0" borderId="163" xfId="0" applyNumberFormat="1" applyFont="1" applyBorder="1" applyProtection="1">
      <alignment vertical="center"/>
    </xf>
    <xf numFmtId="0" fontId="0" fillId="0" borderId="113" xfId="0" applyFont="1" applyFill="1" applyBorder="1" applyAlignment="1" applyProtection="1">
      <alignment vertical="center" wrapText="1"/>
    </xf>
    <xf numFmtId="0" fontId="93" fillId="0" borderId="192" xfId="0" applyFont="1" applyBorder="1" applyProtection="1">
      <alignment vertical="center"/>
    </xf>
    <xf numFmtId="38" fontId="94" fillId="0" borderId="0" xfId="34" applyFont="1" applyFill="1" applyAlignment="1" applyProtection="1">
      <alignment horizontal="right" vertical="center"/>
    </xf>
    <xf numFmtId="0" fontId="94" fillId="0" borderId="0" xfId="0" applyFont="1" applyAlignment="1" applyProtection="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pplyProtection="1">
      <alignment vertical="center"/>
    </xf>
    <xf numFmtId="0" fontId="42" fillId="25" borderId="18" xfId="0" applyFont="1" applyFill="1" applyBorder="1" applyAlignment="1" applyProtection="1">
      <alignment horizontal="center" vertical="center"/>
    </xf>
    <xf numFmtId="0" fontId="33" fillId="25" borderId="18" xfId="0" applyFont="1" applyFill="1" applyBorder="1" applyProtection="1">
      <alignment vertical="center"/>
    </xf>
    <xf numFmtId="0" fontId="33" fillId="25" borderId="18" xfId="0" applyFont="1" applyFill="1" applyBorder="1" applyAlignment="1" applyProtection="1">
      <alignment horizontal="center" vertical="center"/>
    </xf>
    <xf numFmtId="181" fontId="48" fillId="0" borderId="142" xfId="0" applyNumberFormat="1" applyFont="1" applyBorder="1" applyProtection="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pplyProtection="1">
      <alignment vertical="center"/>
    </xf>
    <xf numFmtId="0" fontId="42" fillId="25" borderId="20" xfId="0" applyFont="1" applyFill="1" applyBorder="1" applyAlignment="1" applyProtection="1">
      <alignment horizontal="center" vertical="center"/>
    </xf>
    <xf numFmtId="0" fontId="33" fillId="25" borderId="20" xfId="0" applyFont="1" applyFill="1" applyBorder="1" applyProtection="1">
      <alignment vertical="center"/>
    </xf>
    <xf numFmtId="0" fontId="33" fillId="25" borderId="20" xfId="0" applyFont="1" applyFill="1" applyBorder="1" applyAlignment="1" applyProtection="1">
      <alignment horizontal="center" vertical="center"/>
    </xf>
    <xf numFmtId="181" fontId="48" fillId="0" borderId="32" xfId="0" applyNumberFormat="1" applyFont="1" applyBorder="1" applyProtection="1">
      <alignment vertical="center"/>
    </xf>
    <xf numFmtId="181" fontId="48" fillId="0" borderId="81" xfId="0" applyNumberFormat="1" applyFont="1" applyBorder="1" applyAlignment="1" applyProtection="1">
      <alignment horizontal="right"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1" fillId="0" borderId="0" xfId="0" applyNumberFormat="1" applyFont="1" applyProtection="1">
      <alignment vertical="center"/>
    </xf>
    <xf numFmtId="0" fontId="71" fillId="0" borderId="0" xfId="0" applyFont="1" applyAlignment="1" applyProtection="1">
      <alignment vertical="center" shrinkToFit="1"/>
    </xf>
    <xf numFmtId="0" fontId="71" fillId="0" borderId="0" xfId="0" applyFont="1" applyProtection="1">
      <alignment vertical="center"/>
    </xf>
    <xf numFmtId="0" fontId="71" fillId="25" borderId="0" xfId="0" applyFont="1" applyFill="1" applyAlignment="1" applyProtection="1">
      <alignment vertical="center" shrinkToFit="1"/>
    </xf>
    <xf numFmtId="0" fontId="71" fillId="25" borderId="0" xfId="0" applyFont="1" applyFill="1" applyProtection="1">
      <alignment vertical="center"/>
    </xf>
    <xf numFmtId="0" fontId="79" fillId="25" borderId="0" xfId="0" applyFont="1" applyFill="1" applyProtection="1">
      <alignment vertical="center"/>
    </xf>
    <xf numFmtId="0" fontId="105" fillId="25" borderId="0" xfId="0" applyFont="1" applyFill="1" applyProtection="1">
      <alignment vertical="center"/>
    </xf>
    <xf numFmtId="0" fontId="87" fillId="25" borderId="0" xfId="0" applyFont="1" applyFill="1" applyProtection="1">
      <alignment vertical="center"/>
    </xf>
    <xf numFmtId="0" fontId="90" fillId="25" borderId="10" xfId="0" applyFont="1" applyFill="1" applyBorder="1" applyAlignment="1" applyProtection="1">
      <alignment horizontal="center" vertical="center" wrapText="1"/>
    </xf>
    <xf numFmtId="0" fontId="90" fillId="25" borderId="0" xfId="0" applyFont="1" applyFill="1" applyAlignment="1" applyProtection="1">
      <alignment horizontal="center" vertical="center" wrapText="1"/>
    </xf>
    <xf numFmtId="0" fontId="90" fillId="0" borderId="0" xfId="0" applyFont="1" applyAlignment="1" applyProtection="1">
      <alignment horizontal="center" vertical="center" wrapText="1"/>
    </xf>
    <xf numFmtId="0" fontId="71" fillId="25" borderId="0" xfId="0" applyFont="1" applyFill="1" applyAlignment="1" applyProtection="1">
      <alignment horizontal="right" vertical="center"/>
    </xf>
    <xf numFmtId="0" fontId="96" fillId="0" borderId="0" xfId="0" applyFont="1" applyAlignment="1" applyProtection="1">
      <alignment vertical="center" wrapText="1"/>
    </xf>
    <xf numFmtId="0" fontId="71" fillId="25" borderId="0" xfId="0" applyFont="1" applyFill="1" applyAlignment="1" applyProtection="1">
      <alignment horizontal="center" vertical="center" shrinkToFit="1"/>
    </xf>
    <xf numFmtId="0" fontId="71" fillId="25" borderId="0" xfId="0" applyFont="1" applyFill="1" applyAlignment="1" applyProtection="1">
      <alignment horizontal="center" vertical="center"/>
    </xf>
    <xf numFmtId="177" fontId="71" fillId="25" borderId="111" xfId="0" applyNumberFormat="1" applyFont="1" applyFill="1" applyBorder="1" applyProtection="1">
      <alignment vertical="center"/>
    </xf>
    <xf numFmtId="0" fontId="51" fillId="25" borderId="0" xfId="0" applyFont="1" applyFill="1" applyAlignment="1" applyProtection="1">
      <alignment horizontal="center" vertical="center" wrapText="1"/>
    </xf>
    <xf numFmtId="0" fontId="71" fillId="25" borderId="0" xfId="0" applyFont="1" applyFill="1" applyAlignment="1" applyProtection="1">
      <alignment horizontal="center" vertical="center" wrapText="1"/>
    </xf>
    <xf numFmtId="0" fontId="38"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1" fillId="25" borderId="112" xfId="0" applyNumberFormat="1" applyFont="1" applyFill="1" applyBorder="1" applyProtection="1">
      <alignment vertical="center"/>
    </xf>
    <xf numFmtId="0" fontId="71" fillId="25" borderId="0" xfId="0" applyFont="1" applyFill="1" applyAlignment="1" applyProtection="1">
      <alignment horizontal="left" vertical="center"/>
    </xf>
    <xf numFmtId="0" fontId="37" fillId="25" borderId="0" xfId="0" applyFont="1" applyFill="1" applyAlignment="1" applyProtection="1">
      <alignment horizontal="left" vertical="center" wrapText="1"/>
    </xf>
    <xf numFmtId="0" fontId="75"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5" fillId="0" borderId="193" xfId="0" applyFont="1" applyBorder="1" applyAlignment="1" applyProtection="1">
      <alignment vertical="center" wrapText="1"/>
    </xf>
    <xf numFmtId="182" fontId="71"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1"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1" fillId="25" borderId="0" xfId="0" applyFont="1" applyFill="1" applyAlignment="1" applyProtection="1">
      <alignment vertical="center" wrapText="1"/>
    </xf>
    <xf numFmtId="182" fontId="71" fillId="25" borderId="113" xfId="0" applyNumberFormat="1" applyFont="1" applyFill="1" applyBorder="1" applyProtection="1">
      <alignment vertical="center"/>
    </xf>
    <xf numFmtId="177" fontId="71" fillId="25" borderId="113" xfId="0" applyNumberFormat="1" applyFont="1" applyFill="1" applyBorder="1" applyProtection="1">
      <alignment vertical="center"/>
    </xf>
    <xf numFmtId="182" fontId="71" fillId="25" borderId="0" xfId="0" applyNumberFormat="1" applyFont="1" applyFill="1" applyProtection="1">
      <alignment vertical="center"/>
    </xf>
    <xf numFmtId="0" fontId="95" fillId="0" borderId="0" xfId="0" applyFont="1" applyAlignment="1" applyProtection="1">
      <alignment vertical="center" wrapText="1"/>
    </xf>
    <xf numFmtId="0" fontId="106" fillId="25" borderId="0" xfId="0" applyFont="1" applyFill="1" applyProtection="1">
      <alignment vertical="center"/>
    </xf>
    <xf numFmtId="0" fontId="82" fillId="29" borderId="102" xfId="0" applyFont="1" applyFill="1" applyBorder="1" applyAlignment="1" applyProtection="1">
      <alignment horizontal="center" vertical="center" shrinkToFit="1"/>
    </xf>
    <xf numFmtId="0" fontId="82" fillId="30" borderId="109" xfId="0" applyFont="1" applyFill="1" applyBorder="1" applyAlignment="1" applyProtection="1">
      <alignment horizontal="center" vertical="center"/>
    </xf>
    <xf numFmtId="0" fontId="82" fillId="29" borderId="102" xfId="0" applyFont="1" applyFill="1" applyBorder="1" applyAlignment="1" applyProtection="1">
      <alignment horizontal="center" vertical="center" wrapText="1"/>
    </xf>
    <xf numFmtId="0" fontId="37" fillId="0" borderId="102" xfId="0" applyFont="1" applyBorder="1" applyAlignment="1" applyProtection="1">
      <alignment horizontal="left" vertical="center" wrapText="1"/>
    </xf>
    <xf numFmtId="0" fontId="0" fillId="0" borderId="0" xfId="0" applyBorder="1" applyProtection="1">
      <alignment vertical="center"/>
    </xf>
    <xf numFmtId="0" fontId="71"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4" fillId="25" borderId="186" xfId="0" applyFont="1" applyFill="1" applyBorder="1" applyAlignment="1" applyProtection="1">
      <alignment horizontal="center" vertical="center" wrapText="1"/>
    </xf>
    <xf numFmtId="0" fontId="94" fillId="25" borderId="191"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pplyProtection="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pplyProtection="1">
      <alignment horizontal="right" vertical="center"/>
    </xf>
    <xf numFmtId="0" fontId="71" fillId="25" borderId="0" xfId="0" applyFont="1" applyFill="1" applyAlignment="1" applyProtection="1">
      <alignment horizontal="right" vertical="center" wrapText="1"/>
    </xf>
    <xf numFmtId="0" fontId="71" fillId="25" borderId="11" xfId="0" applyFont="1" applyFill="1" applyBorder="1" applyProtection="1">
      <alignment vertical="center"/>
    </xf>
    <xf numFmtId="182" fontId="71" fillId="25" borderId="109" xfId="0" applyNumberFormat="1" applyFont="1" applyFill="1" applyBorder="1" applyAlignment="1" applyProtection="1">
      <alignment vertical="center" wrapText="1"/>
    </xf>
    <xf numFmtId="182" fontId="71" fillId="25" borderId="113" xfId="0" applyNumberFormat="1" applyFont="1" applyFill="1" applyBorder="1" applyAlignment="1" applyProtection="1">
      <alignment vertical="center" wrapText="1"/>
    </xf>
    <xf numFmtId="177" fontId="71" fillId="25" borderId="157" xfId="0" applyNumberFormat="1" applyFont="1" applyFill="1" applyBorder="1" applyProtection="1">
      <alignment vertical="center"/>
    </xf>
    <xf numFmtId="178" fontId="71" fillId="25" borderId="0" xfId="28" applyNumberFormat="1" applyFont="1" applyFill="1" applyProtection="1">
      <alignment vertical="center"/>
    </xf>
    <xf numFmtId="0" fontId="82" fillId="30" borderId="109" xfId="0" applyFont="1" applyFill="1" applyBorder="1" applyAlignment="1" applyProtection="1">
      <alignment horizontal="center" vertical="center" shrinkToFit="1"/>
    </xf>
    <xf numFmtId="0" fontId="71" fillId="0" borderId="0" xfId="0" applyFont="1" applyAlignment="1" applyProtection="1">
      <alignment horizontal="center" vertical="center" wrapText="1"/>
    </xf>
    <xf numFmtId="0" fontId="71" fillId="0" borderId="104" xfId="0" applyFont="1" applyBorder="1" applyAlignment="1" applyProtection="1">
      <alignment horizontal="center" vertical="center" wrapText="1"/>
    </xf>
    <xf numFmtId="0" fontId="71" fillId="0" borderId="13" xfId="0" applyFont="1" applyBorder="1" applyAlignment="1" applyProtection="1">
      <alignment horizontal="center" vertical="center" wrapText="1"/>
    </xf>
    <xf numFmtId="0" fontId="71" fillId="0" borderId="15" xfId="0" applyFont="1" applyBorder="1" applyAlignment="1" applyProtection="1">
      <alignment horizontal="center" vertical="center" wrapText="1"/>
    </xf>
    <xf numFmtId="0" fontId="71" fillId="0" borderId="14" xfId="0" applyFont="1" applyBorder="1" applyAlignment="1" applyProtection="1">
      <alignment horizontal="center" vertical="center" wrapText="1"/>
    </xf>
    <xf numFmtId="0" fontId="71"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6" fillId="34" borderId="0" xfId="0" applyFont="1" applyFill="1" applyAlignment="1" applyProtection="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pplyProtection="1">
      <alignment horizontal="left" vertical="center" wrapText="1"/>
    </xf>
    <xf numFmtId="0" fontId="94" fillId="0" borderId="191" xfId="0" applyFont="1" applyBorder="1" applyProtection="1">
      <alignment vertical="center"/>
    </xf>
    <xf numFmtId="0" fontId="0" fillId="25" borderId="113" xfId="0" applyFont="1" applyFill="1" applyBorder="1" applyAlignment="1" applyProtection="1">
      <alignment vertical="center" wrapText="1"/>
    </xf>
    <xf numFmtId="0" fontId="94" fillId="0" borderId="190" xfId="0" applyFont="1" applyBorder="1" applyProtection="1">
      <alignment vertical="center"/>
    </xf>
    <xf numFmtId="177" fontId="42" fillId="0" borderId="0" xfId="0" applyNumberFormat="1" applyFont="1" applyAlignment="1" applyProtection="1">
      <alignment horizontal="center" vertical="center" wrapText="1"/>
    </xf>
    <xf numFmtId="0" fontId="71" fillId="0" borderId="0" xfId="0" applyFont="1" applyAlignment="1" applyProtection="1">
      <alignment horizontal="right" vertical="center" wrapText="1"/>
    </xf>
    <xf numFmtId="0" fontId="71" fillId="25" borderId="148" xfId="0" applyFont="1" applyFill="1" applyBorder="1" applyAlignment="1" applyProtection="1">
      <alignment vertical="center" wrapText="1"/>
    </xf>
    <xf numFmtId="0" fontId="115" fillId="25" borderId="0" xfId="0" applyFont="1" applyFill="1" applyProtection="1">
      <alignment vertical="center"/>
    </xf>
    <xf numFmtId="0" fontId="33" fillId="25" borderId="0" xfId="0" applyFont="1" applyFill="1" applyAlignment="1" applyProtection="1">
      <alignment horizontal="left" vertical="center"/>
    </xf>
    <xf numFmtId="0" fontId="48" fillId="25" borderId="0" xfId="0" applyFont="1" applyFill="1" applyAlignment="1" applyProtection="1">
      <alignment horizontal="left" vertical="center"/>
    </xf>
    <xf numFmtId="0" fontId="0" fillId="0" borderId="0" xfId="0" applyAlignment="1" applyProtection="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178" fontId="30" fillId="0" borderId="45" xfId="28" applyNumberFormat="1" applyFont="1" applyBorder="1" applyAlignment="1">
      <alignment horizontal="right" vertical="center" wrapText="1"/>
    </xf>
    <xf numFmtId="178" fontId="30" fillId="0" borderId="79" xfId="28" applyNumberFormat="1" applyFont="1" applyBorder="1" applyAlignment="1">
      <alignment horizontal="right" vertical="center" wrapText="1"/>
    </xf>
    <xf numFmtId="178" fontId="30" fillId="0" borderId="21" xfId="28" applyNumberFormat="1" applyFont="1" applyBorder="1" applyAlignment="1">
      <alignment horizontal="right" vertical="center" wrapText="1"/>
    </xf>
    <xf numFmtId="178" fontId="30" fillId="0" borderId="77" xfId="28" applyNumberFormat="1" applyFont="1" applyBorder="1" applyAlignment="1">
      <alignment horizontal="right" vertical="center" wrapText="1"/>
    </xf>
    <xf numFmtId="178" fontId="30" fillId="0" borderId="10" xfId="28" applyNumberFormat="1" applyFont="1" applyBorder="1" applyAlignment="1">
      <alignment horizontal="right" vertical="center" wrapText="1"/>
    </xf>
    <xf numFmtId="178" fontId="30" fillId="0" borderId="22" xfId="28" applyNumberFormat="1" applyFont="1" applyBorder="1" applyAlignment="1">
      <alignment horizontal="right" vertical="center" wrapText="1"/>
    </xf>
    <xf numFmtId="178" fontId="30" fillId="0" borderId="50" xfId="28" applyNumberFormat="1" applyFont="1" applyBorder="1" applyAlignment="1">
      <alignment horizontal="right" vertical="center" wrapText="1"/>
    </xf>
    <xf numFmtId="178" fontId="30" fillId="0" borderId="28" xfId="28" applyNumberFormat="1" applyFont="1" applyBorder="1" applyAlignment="1">
      <alignment horizontal="right" vertical="center" wrapText="1"/>
    </xf>
    <xf numFmtId="178" fontId="30" fillId="0" borderId="26" xfId="28" applyNumberFormat="1" applyFont="1" applyBorder="1" applyAlignment="1">
      <alignment horizontal="right" vertical="center" wrapText="1"/>
    </xf>
    <xf numFmtId="178" fontId="30" fillId="0" borderId="100" xfId="28" applyNumberFormat="1" applyFont="1" applyBorder="1" applyAlignment="1">
      <alignment horizontal="right" vertical="center" wrapText="1"/>
    </xf>
    <xf numFmtId="178" fontId="30" fillId="0" borderId="75" xfId="28" applyNumberFormat="1" applyFont="1" applyBorder="1" applyAlignment="1">
      <alignment horizontal="right" vertical="center" wrapText="1"/>
    </xf>
    <xf numFmtId="178" fontId="30" fillId="0" borderId="92" xfId="28" applyNumberFormat="1" applyFont="1" applyBorder="1" applyAlignment="1">
      <alignment horizontal="right" vertical="center" wrapText="1"/>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0" borderId="10" xfId="0" applyFont="1" applyBorder="1" applyAlignment="1" applyProtection="1">
      <alignment horizontal="left" vertical="center"/>
    </xf>
    <xf numFmtId="0" fontId="33" fillId="0" borderId="12" xfId="0" applyFont="1" applyBorder="1" applyAlignment="1" applyProtection="1">
      <alignment horizontal="left" vertical="center"/>
    </xf>
    <xf numFmtId="0" fontId="33" fillId="0" borderId="10" xfId="0" applyFont="1" applyBorder="1" applyProtection="1">
      <alignmen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37" fillId="0" borderId="0" xfId="0" applyFont="1" applyAlignment="1" applyProtection="1">
      <alignment horizontal="left" vertical="top" wrapText="1"/>
    </xf>
    <xf numFmtId="0" fontId="42" fillId="0" borderId="0" xfId="0" applyFont="1" applyAlignment="1" applyProtection="1">
      <alignment horizontal="left" vertical="center" wrapText="1"/>
    </xf>
    <xf numFmtId="0" fontId="33" fillId="0" borderId="32" xfId="0" applyFont="1" applyBorder="1" applyAlignment="1" applyProtection="1">
      <alignment horizontal="center" vertical="center" wrapText="1"/>
    </xf>
    <xf numFmtId="0" fontId="33" fillId="0" borderId="13" xfId="0" applyFont="1" applyBorder="1" applyAlignment="1" applyProtection="1">
      <alignment horizontal="center" vertical="center"/>
    </xf>
    <xf numFmtId="0" fontId="33" fillId="0" borderId="82" xfId="0" applyFont="1" applyBorder="1" applyAlignment="1" applyProtection="1">
      <alignment horizontal="center" vertical="center"/>
    </xf>
    <xf numFmtId="0" fontId="33" fillId="0" borderId="12" xfId="0" applyFont="1" applyBorder="1" applyAlignment="1" applyProtection="1">
      <alignment horizontal="center" vertical="center" wrapText="1"/>
    </xf>
    <xf numFmtId="0" fontId="33" fillId="0" borderId="35"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75"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6" xfId="0" applyFont="1" applyBorder="1" applyAlignment="1" applyProtection="1">
      <alignment horizontal="center" vertical="center"/>
    </xf>
    <xf numFmtId="0" fontId="33" fillId="0" borderId="82" xfId="0" applyFont="1" applyBorder="1" applyAlignment="1" applyProtection="1">
      <alignment horizontal="center" vertical="center" wrapText="1"/>
    </xf>
    <xf numFmtId="0" fontId="33" fillId="0" borderId="14" xfId="0" applyFont="1" applyBorder="1" applyAlignment="1" applyProtection="1">
      <alignment horizontal="center" vertical="center"/>
    </xf>
    <xf numFmtId="0" fontId="33" fillId="0" borderId="32" xfId="0" applyFont="1" applyBorder="1" applyAlignment="1" applyProtection="1">
      <alignment horizontal="center" vertical="center"/>
    </xf>
    <xf numFmtId="0" fontId="33" fillId="0" borderId="13" xfId="0" applyFont="1"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pplyProtection="1">
      <alignment vertical="center" wrapText="1" shrinkToFit="1"/>
    </xf>
    <xf numFmtId="0" fontId="33" fillId="0" borderId="75" xfId="0" applyFont="1" applyBorder="1" applyAlignment="1" applyProtection="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49" fontId="48" fillId="28" borderId="76" xfId="0" applyNumberFormat="1" applyFont="1" applyFill="1" applyBorder="1" applyAlignment="1" applyProtection="1">
      <alignment horizontal="center" vertical="center"/>
      <protection locked="0"/>
    </xf>
    <xf numFmtId="49" fontId="48" fillId="28" borderId="23" xfId="0" applyNumberFormat="1" applyFont="1" applyFill="1" applyBorder="1" applyAlignment="1" applyProtection="1">
      <alignment horizontal="center" vertical="center"/>
      <protection locked="0"/>
    </xf>
    <xf numFmtId="49" fontId="48" fillId="28" borderId="106" xfId="0" applyNumberFormat="1" applyFont="1" applyFill="1" applyBorder="1" applyAlignment="1" applyProtection="1">
      <alignment horizontal="center" vertical="center"/>
      <protection locked="0"/>
    </xf>
    <xf numFmtId="0" fontId="33" fillId="28" borderId="28"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0" fontId="37" fillId="0" borderId="0" xfId="0" applyFont="1" applyAlignment="1" applyProtection="1">
      <alignment horizontal="left" vertical="center" wrapText="1"/>
    </xf>
    <xf numFmtId="0" fontId="45" fillId="0" borderId="25" xfId="0" applyFont="1" applyBorder="1" applyAlignment="1" applyProtection="1">
      <alignment horizontal="left" vertical="center" wrapText="1"/>
    </xf>
    <xf numFmtId="0" fontId="45" fillId="0" borderId="30" xfId="0" applyFont="1" applyBorder="1" applyAlignment="1" applyProtection="1">
      <alignment horizontal="left" vertical="center" wrapText="1"/>
    </xf>
    <xf numFmtId="0" fontId="45" fillId="0" borderId="31" xfId="0" applyFont="1" applyBorder="1" applyAlignment="1" applyProtection="1">
      <alignment horizontal="left" vertical="center" wrapText="1"/>
    </xf>
    <xf numFmtId="0" fontId="44" fillId="25" borderId="54" xfId="0" applyFont="1" applyFill="1" applyBorder="1" applyAlignment="1" applyProtection="1">
      <alignment horizontal="left" vertical="center" wrapText="1"/>
    </xf>
    <xf numFmtId="0" fontId="44" fillId="25" borderId="35" xfId="0" applyFont="1" applyFill="1" applyBorder="1" applyAlignment="1" applyProtection="1">
      <alignment horizontal="left" vertical="center" wrapText="1"/>
    </xf>
    <xf numFmtId="0" fontId="44" fillId="25" borderId="11" xfId="0" applyFont="1" applyFill="1" applyBorder="1" applyAlignment="1" applyProtection="1">
      <alignment horizontal="left" vertical="center" wrapText="1"/>
    </xf>
    <xf numFmtId="0" fontId="56" fillId="25" borderId="54" xfId="0" applyFont="1" applyFill="1" applyBorder="1" applyAlignment="1" applyProtection="1">
      <alignment horizontal="left" vertical="center" wrapText="1"/>
    </xf>
    <xf numFmtId="0" fontId="56" fillId="25" borderId="35" xfId="0" applyFont="1" applyFill="1" applyBorder="1" applyAlignment="1" applyProtection="1">
      <alignment horizontal="left" vertical="center" wrapText="1"/>
    </xf>
    <xf numFmtId="0" fontId="56" fillId="25" borderId="11" xfId="0" applyFont="1" applyFill="1" applyBorder="1" applyAlignment="1" applyProtection="1">
      <alignment horizontal="left" vertical="center" wrapText="1"/>
    </xf>
    <xf numFmtId="0" fontId="45" fillId="0" borderId="30" xfId="0" applyFont="1" applyBorder="1" applyAlignment="1" applyProtection="1">
      <alignment horizontal="left" vertical="center"/>
    </xf>
    <xf numFmtId="0" fontId="45" fillId="0" borderId="31" xfId="0" applyFont="1" applyBorder="1" applyAlignment="1" applyProtection="1">
      <alignment horizontal="left" vertical="center"/>
    </xf>
    <xf numFmtId="0" fontId="45" fillId="0" borderId="25" xfId="0" applyFont="1" applyBorder="1" applyAlignment="1" applyProtection="1">
      <alignment horizontal="left" vertical="center"/>
    </xf>
    <xf numFmtId="0" fontId="45" fillId="0" borderId="40" xfId="0" applyFont="1" applyBorder="1" applyAlignment="1" applyProtection="1">
      <alignment horizontal="left" vertical="center" wrapText="1"/>
    </xf>
    <xf numFmtId="0" fontId="45" fillId="0" borderId="41" xfId="0" applyFont="1" applyBorder="1" applyAlignment="1" applyProtection="1">
      <alignment horizontal="left" vertical="center" wrapText="1"/>
    </xf>
    <xf numFmtId="0" fontId="45" fillId="0" borderId="42" xfId="0" applyFont="1" applyBorder="1" applyAlignment="1" applyProtection="1">
      <alignment horizontal="left" vertical="center" wrapText="1"/>
    </xf>
    <xf numFmtId="0" fontId="45" fillId="0" borderId="163" xfId="0" applyFont="1" applyBorder="1" applyAlignment="1" applyProtection="1">
      <alignment horizontal="left" vertical="center" wrapText="1"/>
    </xf>
    <xf numFmtId="0" fontId="45" fillId="0" borderId="160" xfId="0" applyFont="1" applyBorder="1" applyAlignment="1" applyProtection="1">
      <alignment horizontal="left" vertical="center" wrapText="1"/>
    </xf>
    <xf numFmtId="0" fontId="45" fillId="0" borderId="162" xfId="0" applyFont="1" applyBorder="1" applyAlignment="1" applyProtection="1">
      <alignment horizontal="left" vertical="center" wrapText="1"/>
    </xf>
    <xf numFmtId="0" fontId="101" fillId="0" borderId="186" xfId="0" applyFont="1" applyBorder="1" applyAlignment="1" applyProtection="1">
      <alignment horizontal="center" vertical="center"/>
    </xf>
    <xf numFmtId="0" fontId="29" fillId="25" borderId="0" xfId="0" applyFont="1" applyFill="1" applyAlignment="1" applyProtection="1">
      <alignment horizontal="left" vertical="top" wrapText="1"/>
    </xf>
    <xf numFmtId="0" fontId="44" fillId="33" borderId="13" xfId="0" applyFont="1" applyFill="1" applyBorder="1" applyAlignment="1" applyProtection="1">
      <alignment horizontal="center" vertical="center"/>
      <protection locked="0"/>
    </xf>
    <xf numFmtId="0" fontId="58" fillId="0" borderId="25" xfId="0" applyFont="1" applyBorder="1" applyAlignment="1" applyProtection="1">
      <alignment horizontal="left" vertical="center" wrapText="1"/>
    </xf>
    <xf numFmtId="0" fontId="58" fillId="0" borderId="30" xfId="0" applyFont="1" applyBorder="1" applyAlignment="1" applyProtection="1">
      <alignment horizontal="left" vertical="center" wrapText="1"/>
    </xf>
    <xf numFmtId="0" fontId="58" fillId="0" borderId="31" xfId="0" applyFont="1" applyBorder="1" applyAlignment="1" applyProtection="1">
      <alignment horizontal="left" vertical="center" wrapText="1"/>
    </xf>
    <xf numFmtId="0" fontId="56" fillId="25" borderId="0" xfId="0" applyFont="1" applyFill="1" applyAlignment="1" applyProtection="1">
      <alignment horizontal="left" vertical="center" wrapText="1"/>
    </xf>
    <xf numFmtId="0" fontId="53" fillId="25" borderId="11" xfId="0" applyFont="1" applyFill="1" applyBorder="1" applyAlignment="1" applyProtection="1">
      <alignment horizontal="left" vertical="center" wrapText="1"/>
    </xf>
    <xf numFmtId="0" fontId="53" fillId="25" borderId="10" xfId="0" applyFont="1" applyFill="1" applyBorder="1" applyAlignment="1" applyProtection="1">
      <alignment horizontal="left" vertical="center" wrapText="1"/>
    </xf>
    <xf numFmtId="0" fontId="53" fillId="25" borderId="12" xfId="0" applyFont="1" applyFill="1" applyBorder="1" applyAlignment="1" applyProtection="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pplyProtection="1">
      <alignment horizontal="center" vertical="center"/>
    </xf>
    <xf numFmtId="0" fontId="62" fillId="0" borderId="123" xfId="0" applyFont="1" applyBorder="1" applyAlignment="1" applyProtection="1">
      <alignment horizontal="center" vertical="center"/>
    </xf>
    <xf numFmtId="0" fontId="50" fillId="25" borderId="16" xfId="0" applyFont="1" applyFill="1" applyBorder="1" applyAlignment="1" applyProtection="1">
      <alignment horizontal="center" vertical="center"/>
    </xf>
    <xf numFmtId="0" fontId="50" fillId="25" borderId="12" xfId="0" applyFont="1" applyFill="1" applyBorder="1" applyAlignment="1" applyProtection="1">
      <alignment horizontal="left" vertical="center" wrapText="1"/>
    </xf>
    <xf numFmtId="0" fontId="50" fillId="25" borderId="35" xfId="0" applyFont="1" applyFill="1" applyBorder="1" applyAlignment="1" applyProtection="1">
      <alignment horizontal="left" vertical="center" wrapText="1"/>
    </xf>
    <xf numFmtId="0" fontId="50" fillId="25" borderId="11" xfId="0" applyFont="1" applyFill="1" applyBorder="1" applyAlignment="1" applyProtection="1">
      <alignment horizontal="left" vertical="center" wrapText="1"/>
    </xf>
    <xf numFmtId="0" fontId="57" fillId="25" borderId="0" xfId="0" applyFont="1" applyFill="1" applyAlignment="1" applyProtection="1">
      <alignment horizontal="left" vertical="center" wrapText="1"/>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pplyProtection="1">
      <alignment vertical="center" wrapText="1"/>
    </xf>
    <xf numFmtId="0" fontId="44" fillId="0" borderId="69" xfId="0" applyFont="1" applyBorder="1" applyAlignment="1" applyProtection="1">
      <alignment vertical="center" wrapText="1"/>
    </xf>
    <xf numFmtId="0" fontId="44" fillId="0" borderId="0" xfId="0" applyFont="1" applyAlignment="1" applyProtection="1">
      <alignment vertical="center" wrapText="1"/>
    </xf>
    <xf numFmtId="0" fontId="44" fillId="0" borderId="16" xfId="0" applyFont="1" applyBorder="1" applyAlignment="1" applyProtection="1">
      <alignment vertical="center" wrapText="1"/>
    </xf>
    <xf numFmtId="0" fontId="50" fillId="33" borderId="120" xfId="0" applyFont="1" applyFill="1" applyBorder="1" applyAlignment="1" applyProtection="1">
      <alignment horizontal="center" vertical="center"/>
    </xf>
    <xf numFmtId="0" fontId="50" fillId="33" borderId="122" xfId="0" applyFont="1" applyFill="1" applyBorder="1" applyAlignment="1" applyProtection="1">
      <alignment horizontal="center" vertical="center"/>
    </xf>
    <xf numFmtId="0" fontId="56" fillId="0" borderId="60" xfId="0" applyFont="1" applyBorder="1" applyAlignment="1" applyProtection="1">
      <alignment horizontal="center" vertical="center"/>
    </xf>
    <xf numFmtId="0" fontId="56" fillId="0" borderId="49" xfId="0" applyFont="1" applyBorder="1" applyAlignment="1" applyProtection="1">
      <alignment horizontal="center" vertical="center"/>
    </xf>
    <xf numFmtId="0" fontId="56" fillId="0" borderId="182" xfId="0" applyFont="1" applyBorder="1" applyAlignment="1" applyProtection="1">
      <alignment horizontal="center" vertical="center"/>
    </xf>
    <xf numFmtId="0" fontId="56" fillId="25" borderId="49" xfId="0" applyFont="1" applyFill="1" applyBorder="1" applyAlignment="1" applyProtection="1">
      <alignment horizontal="left" vertical="center" wrapText="1"/>
    </xf>
    <xf numFmtId="0" fontId="56" fillId="25" borderId="61" xfId="0" applyFont="1" applyFill="1" applyBorder="1" applyAlignment="1" applyProtection="1">
      <alignment horizontal="left" vertical="center" wrapText="1"/>
    </xf>
    <xf numFmtId="0" fontId="44" fillId="25" borderId="56" xfId="0" applyFont="1" applyFill="1" applyBorder="1" applyAlignment="1" applyProtection="1">
      <alignment horizontal="left" vertical="center" wrapText="1"/>
    </xf>
    <xf numFmtId="0" fontId="44" fillId="25" borderId="132" xfId="0" applyFont="1" applyFill="1" applyBorder="1" applyAlignment="1" applyProtection="1">
      <alignment horizontal="left" vertical="center" wrapText="1"/>
    </xf>
    <xf numFmtId="0" fontId="44" fillId="30" borderId="55" xfId="0" applyFont="1" applyFill="1" applyBorder="1" applyAlignment="1" applyProtection="1">
      <alignment horizontal="center" vertical="center"/>
    </xf>
    <xf numFmtId="0" fontId="44" fillId="30" borderId="46" xfId="0" applyFont="1" applyFill="1" applyBorder="1" applyAlignment="1" applyProtection="1">
      <alignment horizontal="center" vertical="center"/>
    </xf>
    <xf numFmtId="0" fontId="44" fillId="30" borderId="47" xfId="0" applyFont="1" applyFill="1" applyBorder="1" applyAlignment="1" applyProtection="1">
      <alignment horizontal="center" vertical="center"/>
    </xf>
    <xf numFmtId="0" fontId="45" fillId="29" borderId="109" xfId="0" applyFont="1" applyFill="1" applyBorder="1" applyAlignment="1" applyProtection="1">
      <alignment horizontal="center" vertical="center"/>
    </xf>
    <xf numFmtId="0" fontId="45" fillId="29" borderId="157" xfId="0" applyFont="1" applyFill="1" applyBorder="1" applyAlignment="1" applyProtection="1">
      <alignment horizontal="center" vertical="center"/>
    </xf>
    <xf numFmtId="2" fontId="50" fillId="25" borderId="25" xfId="0" applyNumberFormat="1" applyFont="1" applyFill="1" applyBorder="1" applyAlignment="1" applyProtection="1">
      <alignment horizontal="center" vertical="center" shrinkToFit="1"/>
    </xf>
    <xf numFmtId="2" fontId="50" fillId="25" borderId="30" xfId="0" applyNumberFormat="1" applyFont="1" applyFill="1" applyBorder="1" applyAlignment="1" applyProtection="1">
      <alignment horizontal="center" vertical="center" shrinkToFit="1"/>
    </xf>
    <xf numFmtId="2" fontId="50" fillId="25" borderId="31" xfId="0" applyNumberFormat="1" applyFont="1" applyFill="1" applyBorder="1" applyAlignment="1" applyProtection="1">
      <alignment horizontal="center" vertical="center" shrinkToFit="1"/>
    </xf>
    <xf numFmtId="0" fontId="58" fillId="0" borderId="30" xfId="0" applyFont="1" applyBorder="1" applyAlignment="1" applyProtection="1">
      <alignment horizontal="left" vertical="center"/>
    </xf>
    <xf numFmtId="0" fontId="58" fillId="0" borderId="31" xfId="0" applyFont="1" applyBorder="1" applyAlignment="1" applyProtection="1">
      <alignment horizontal="left" vertical="center"/>
    </xf>
    <xf numFmtId="0" fontId="44" fillId="0" borderId="117" xfId="0" applyFont="1" applyBorder="1" applyAlignment="1" applyProtection="1">
      <alignment horizontal="center" vertical="center" wrapText="1"/>
    </xf>
    <xf numFmtId="0" fontId="44" fillId="0" borderId="49" xfId="0" applyFont="1" applyBorder="1" applyAlignment="1" applyProtection="1">
      <alignment horizontal="center" vertical="center" wrapText="1"/>
    </xf>
    <xf numFmtId="0" fontId="44" fillId="0" borderId="52" xfId="0" applyFont="1" applyBorder="1" applyAlignment="1" applyProtection="1">
      <alignment horizontal="center" vertical="center" wrapText="1"/>
    </xf>
    <xf numFmtId="0" fontId="44" fillId="0" borderId="117" xfId="0" applyFont="1" applyBorder="1" applyAlignment="1" applyProtection="1">
      <alignment horizontal="center" vertical="center"/>
    </xf>
    <xf numFmtId="0" fontId="44" fillId="0" borderId="49" xfId="0" applyFont="1" applyBorder="1" applyAlignment="1" applyProtection="1">
      <alignment horizontal="center" vertical="center"/>
    </xf>
    <xf numFmtId="0" fontId="44" fillId="0" borderId="52" xfId="0" applyFont="1" applyBorder="1" applyAlignment="1" applyProtection="1">
      <alignment horizontal="center" vertical="center"/>
    </xf>
    <xf numFmtId="0" fontId="44" fillId="0" borderId="131" xfId="0" applyFont="1" applyBorder="1" applyAlignment="1" applyProtection="1">
      <alignment horizontal="center" vertical="center"/>
    </xf>
    <xf numFmtId="0" fontId="44" fillId="0" borderId="71" xfId="0" applyFont="1" applyBorder="1" applyAlignment="1" applyProtection="1">
      <alignment horizontal="center" vertical="center"/>
    </xf>
    <xf numFmtId="0" fontId="44" fillId="0" borderId="72" xfId="0" applyFont="1" applyBorder="1" applyAlignment="1" applyProtection="1">
      <alignment horizontal="center" vertical="center"/>
    </xf>
    <xf numFmtId="0" fontId="44" fillId="25" borderId="71" xfId="0" applyFont="1" applyFill="1" applyBorder="1" applyAlignment="1" applyProtection="1">
      <alignment horizontal="left" vertical="center"/>
    </xf>
    <xf numFmtId="0" fontId="44" fillId="25" borderId="133" xfId="0" applyFont="1" applyFill="1" applyBorder="1" applyAlignment="1" applyProtection="1">
      <alignment horizontal="left" vertical="center"/>
    </xf>
    <xf numFmtId="0" fontId="65" fillId="25" borderId="0" xfId="0" applyFont="1" applyFill="1" applyAlignment="1" applyProtection="1">
      <alignment horizontal="center" vertical="center"/>
    </xf>
    <xf numFmtId="0" fontId="62" fillId="25" borderId="0" xfId="0" applyFont="1" applyFill="1" applyAlignment="1" applyProtection="1">
      <alignment horizontal="center" vertical="center" shrinkToFit="1"/>
    </xf>
    <xf numFmtId="0" fontId="51" fillId="25" borderId="0" xfId="0" applyFont="1" applyFill="1" applyAlignment="1" applyProtection="1">
      <alignment horizontal="center" vertical="center"/>
    </xf>
    <xf numFmtId="2" fontId="50" fillId="25" borderId="40" xfId="0" applyNumberFormat="1" applyFont="1" applyFill="1" applyBorder="1" applyAlignment="1" applyProtection="1">
      <alignment horizontal="center" vertical="center" shrinkToFit="1"/>
    </xf>
    <xf numFmtId="2" fontId="50" fillId="25" borderId="41" xfId="0" applyNumberFormat="1" applyFont="1" applyFill="1" applyBorder="1" applyAlignment="1" applyProtection="1">
      <alignment horizontal="center" vertical="center" shrinkToFit="1"/>
    </xf>
    <xf numFmtId="2" fontId="50" fillId="25" borderId="42" xfId="0" applyNumberFormat="1" applyFont="1" applyFill="1" applyBorder="1" applyAlignment="1" applyProtection="1">
      <alignment horizontal="center" vertical="center" shrinkToFit="1"/>
    </xf>
    <xf numFmtId="2" fontId="50" fillId="25" borderId="163" xfId="0" applyNumberFormat="1" applyFont="1" applyFill="1" applyBorder="1" applyAlignment="1" applyProtection="1">
      <alignment horizontal="center" vertical="center" shrinkToFit="1"/>
    </xf>
    <xf numFmtId="2" fontId="50" fillId="25" borderId="160" xfId="0" applyNumberFormat="1" applyFont="1" applyFill="1" applyBorder="1" applyAlignment="1" applyProtection="1">
      <alignment horizontal="center" vertical="center" shrinkToFit="1"/>
    </xf>
    <xf numFmtId="2" fontId="50" fillId="25" borderId="162" xfId="0" applyNumberFormat="1" applyFont="1" applyFill="1" applyBorder="1" applyAlignment="1" applyProtection="1">
      <alignment horizontal="center" vertical="center" shrinkToFit="1"/>
    </xf>
    <xf numFmtId="0" fontId="46" fillId="25" borderId="62" xfId="0" applyFont="1" applyFill="1" applyBorder="1" applyAlignment="1" applyProtection="1">
      <alignment horizontal="left" vertical="center" wrapText="1"/>
    </xf>
    <xf numFmtId="0" fontId="46" fillId="25" borderId="49" xfId="0" applyFont="1" applyFill="1" applyBorder="1" applyAlignment="1" applyProtection="1">
      <alignment horizontal="left" vertical="center" wrapText="1"/>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29" fillId="0" borderId="14" xfId="0" applyFont="1" applyBorder="1" applyAlignment="1" applyProtection="1">
      <alignment horizontal="center" vertical="center" wrapText="1" shrinkToFit="1"/>
    </xf>
    <xf numFmtId="0" fontId="29" fillId="0" borderId="20" xfId="0" applyFont="1" applyBorder="1" applyAlignment="1" applyProtection="1">
      <alignment horizontal="center" vertical="center" wrapText="1" shrinkToFit="1"/>
    </xf>
    <xf numFmtId="0" fontId="29" fillId="0" borderId="15" xfId="0" applyFont="1" applyBorder="1" applyAlignment="1" applyProtection="1">
      <alignment horizontal="center" vertical="center" wrapText="1" shrinkToFit="1"/>
    </xf>
    <xf numFmtId="0" fontId="29" fillId="0" borderId="158" xfId="0" applyFont="1" applyBorder="1" applyAlignment="1" applyProtection="1">
      <alignment horizontal="center" vertical="center" wrapText="1" shrinkToFit="1"/>
    </xf>
    <xf numFmtId="0" fontId="29" fillId="0" borderId="86" xfId="0" applyFont="1" applyBorder="1" applyAlignment="1" applyProtection="1">
      <alignment horizontal="center" vertical="center" wrapText="1" shrinkToFit="1"/>
    </xf>
    <xf numFmtId="0" fontId="29" fillId="0" borderId="159" xfId="0" applyFont="1" applyBorder="1" applyAlignment="1" applyProtection="1">
      <alignment horizontal="center" vertical="center" wrapText="1" shrinkToFit="1"/>
    </xf>
    <xf numFmtId="0" fontId="46" fillId="25" borderId="0" xfId="0" applyFont="1" applyFill="1" applyAlignment="1" applyProtection="1">
      <alignment horizontal="left" vertical="top" wrapText="1"/>
    </xf>
    <xf numFmtId="0" fontId="49" fillId="25" borderId="0" xfId="0" applyFont="1" applyFill="1" applyAlignment="1" applyProtection="1">
      <alignment horizontal="left" vertical="top" wrapText="1"/>
    </xf>
    <xf numFmtId="38" fontId="50" fillId="25" borderId="23" xfId="34" applyFont="1" applyFill="1" applyBorder="1" applyAlignment="1" applyProtection="1">
      <alignment horizontal="right" vertical="center" shrinkToFit="1"/>
    </xf>
    <xf numFmtId="0" fontId="46" fillId="0" borderId="167" xfId="0" applyFont="1" applyBorder="1" applyAlignment="1" applyProtection="1">
      <alignment horizontal="left" vertical="center" wrapText="1"/>
    </xf>
    <xf numFmtId="0" fontId="46" fillId="0" borderId="56" xfId="0" applyFont="1" applyBorder="1" applyAlignment="1" applyProtection="1">
      <alignment horizontal="left" vertical="center" wrapText="1"/>
    </xf>
    <xf numFmtId="0" fontId="46" fillId="0" borderId="53" xfId="0" applyFont="1" applyBorder="1" applyAlignment="1" applyProtection="1">
      <alignment horizontal="left" vertical="center" wrapText="1"/>
    </xf>
    <xf numFmtId="0" fontId="46" fillId="0" borderId="60" xfId="0" applyFont="1" applyBorder="1" applyAlignment="1" applyProtection="1">
      <alignment horizontal="left" vertical="center" wrapText="1"/>
    </xf>
    <xf numFmtId="0" fontId="46" fillId="0" borderId="49" xfId="0" applyFont="1" applyBorder="1" applyAlignment="1" applyProtection="1">
      <alignment horizontal="left" vertical="center" wrapText="1"/>
    </xf>
    <xf numFmtId="0" fontId="46" fillId="0" borderId="52" xfId="0" applyFont="1" applyBorder="1" applyAlignment="1" applyProtection="1">
      <alignment horizontal="left" vertical="center" wrapText="1"/>
    </xf>
    <xf numFmtId="0" fontId="46" fillId="0" borderId="168" xfId="0" applyFont="1" applyBorder="1" applyAlignment="1" applyProtection="1">
      <alignment horizontal="left" vertical="center" wrapText="1"/>
    </xf>
    <xf numFmtId="0" fontId="46" fillId="0" borderId="71" xfId="0" applyFont="1" applyBorder="1" applyAlignment="1" applyProtection="1">
      <alignment horizontal="left" vertical="center" wrapText="1"/>
    </xf>
    <xf numFmtId="0" fontId="46" fillId="0" borderId="72" xfId="0" applyFont="1" applyBorder="1" applyAlignment="1" applyProtection="1">
      <alignment horizontal="left" vertical="center" wrapText="1"/>
    </xf>
    <xf numFmtId="0" fontId="62" fillId="0" borderId="121" xfId="0" applyFont="1" applyBorder="1" applyAlignment="1" applyProtection="1">
      <alignment horizontal="center" vertical="center"/>
    </xf>
    <xf numFmtId="0" fontId="62" fillId="0" borderId="68" xfId="0" applyFont="1" applyBorder="1" applyAlignment="1" applyProtection="1">
      <alignment horizontal="center" vertical="center"/>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14" xfId="0" applyFont="1" applyFill="1" applyBorder="1" applyAlignment="1" applyProtection="1">
      <alignment horizontal="left" vertical="center"/>
    </xf>
    <xf numFmtId="0" fontId="44" fillId="25" borderId="20" xfId="0" applyFont="1" applyFill="1" applyBorder="1" applyAlignment="1" applyProtection="1">
      <alignment horizontal="left" vertical="center"/>
    </xf>
    <xf numFmtId="0" fontId="44" fillId="25" borderId="37" xfId="0" applyFont="1" applyFill="1" applyBorder="1" applyAlignment="1" applyProtection="1">
      <alignment horizontal="left" vertical="center"/>
    </xf>
    <xf numFmtId="0" fontId="44" fillId="25" borderId="32" xfId="0" applyFont="1" applyFill="1" applyBorder="1" applyAlignment="1" applyProtection="1">
      <alignment horizontal="left" vertical="center"/>
    </xf>
    <xf numFmtId="0" fontId="44" fillId="25" borderId="0" xfId="0" applyFont="1" applyFill="1" applyAlignment="1" applyProtection="1">
      <alignment horizontal="left" vertical="center"/>
    </xf>
    <xf numFmtId="0" fontId="44" fillId="25" borderId="36" xfId="0" applyFont="1" applyFill="1" applyBorder="1" applyAlignment="1" applyProtection="1">
      <alignment horizontal="left" vertical="center"/>
    </xf>
    <xf numFmtId="0" fontId="46" fillId="25" borderId="14" xfId="0" applyFont="1" applyFill="1" applyBorder="1" applyAlignment="1" applyProtection="1">
      <alignment horizontal="left" vertical="center" wrapText="1"/>
    </xf>
    <xf numFmtId="0" fontId="46" fillId="25" borderId="20" xfId="0" applyFont="1" applyFill="1" applyBorder="1" applyAlignment="1" applyProtection="1">
      <alignment horizontal="left" vertical="center" wrapText="1"/>
    </xf>
    <xf numFmtId="0" fontId="46" fillId="25" borderId="32" xfId="0" applyFont="1" applyFill="1" applyBorder="1" applyAlignment="1" applyProtection="1">
      <alignment horizontal="left" vertical="center" wrapText="1"/>
    </xf>
    <xf numFmtId="0" fontId="46" fillId="25" borderId="0" xfId="0" applyFont="1" applyFill="1" applyAlignment="1" applyProtection="1">
      <alignment horizontal="left" vertical="center" wrapText="1"/>
    </xf>
    <xf numFmtId="0" fontId="46" fillId="25" borderId="17" xfId="0" applyFont="1" applyFill="1" applyBorder="1" applyAlignment="1" applyProtection="1">
      <alignment horizontal="left" vertical="center" wrapText="1"/>
    </xf>
    <xf numFmtId="0" fontId="46" fillId="25" borderId="18" xfId="0" applyFont="1" applyFill="1" applyBorder="1" applyAlignment="1" applyProtection="1">
      <alignment horizontal="left" vertical="center" wrapText="1"/>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0" fontId="44" fillId="25" borderId="99" xfId="0" applyFont="1" applyFill="1" applyBorder="1" applyProtection="1">
      <alignment vertical="center"/>
    </xf>
    <xf numFmtId="0" fontId="44" fillId="25" borderId="100" xfId="0" applyFont="1" applyFill="1" applyBorder="1" applyProtection="1">
      <alignment vertical="center"/>
    </xf>
    <xf numFmtId="0" fontId="44" fillId="25" borderId="51" xfId="0" applyFont="1" applyFill="1" applyBorder="1" applyProtection="1">
      <alignment vertical="center"/>
    </xf>
    <xf numFmtId="0" fontId="44" fillId="25" borderId="196" xfId="0" applyFont="1" applyFill="1" applyBorder="1" applyProtection="1">
      <alignment vertical="center"/>
    </xf>
    <xf numFmtId="0" fontId="44" fillId="25" borderId="49" xfId="0" applyFont="1" applyFill="1" applyBorder="1" applyAlignment="1" applyProtection="1">
      <alignment horizontal="left" vertical="center" wrapText="1"/>
    </xf>
    <xf numFmtId="0" fontId="44" fillId="25" borderId="61" xfId="0" applyFont="1" applyFill="1" applyBorder="1" applyAlignment="1" applyProtection="1">
      <alignment horizontal="left" vertical="center" wrapText="1"/>
    </xf>
    <xf numFmtId="0" fontId="44" fillId="25" borderId="44" xfId="0" applyFont="1" applyFill="1" applyBorder="1" applyAlignment="1" applyProtection="1">
      <alignment horizontal="center" vertical="center"/>
    </xf>
    <xf numFmtId="0" fontId="44" fillId="25" borderId="107" xfId="0" applyFont="1" applyFill="1" applyBorder="1" applyAlignment="1" applyProtection="1">
      <alignment horizontal="center" vertical="center"/>
    </xf>
    <xf numFmtId="0" fontId="50" fillId="33" borderId="25" xfId="0" applyFont="1" applyFill="1" applyBorder="1" applyAlignment="1" applyProtection="1">
      <alignment horizontal="center" vertical="center"/>
    </xf>
    <xf numFmtId="0" fontId="50" fillId="33" borderId="31" xfId="0" applyFont="1" applyFill="1" applyBorder="1" applyAlignment="1" applyProtection="1">
      <alignment horizontal="center" vertical="center"/>
    </xf>
    <xf numFmtId="0" fontId="46" fillId="25" borderId="49" xfId="0" applyFont="1" applyFill="1" applyBorder="1" applyAlignment="1" applyProtection="1">
      <alignment vertical="center" wrapText="1"/>
    </xf>
    <xf numFmtId="0" fontId="44" fillId="0" borderId="14" xfId="0" applyFont="1" applyBorder="1" applyAlignment="1" applyProtection="1">
      <alignment horizontal="left" vertical="center" wrapText="1"/>
    </xf>
    <xf numFmtId="0" fontId="44" fillId="0" borderId="20" xfId="0" applyFont="1" applyBorder="1" applyAlignment="1" applyProtection="1">
      <alignment horizontal="left" vertical="center" wrapText="1"/>
    </xf>
    <xf numFmtId="0" fontId="44" fillId="0" borderId="37" xfId="0" applyFont="1" applyBorder="1" applyAlignment="1" applyProtection="1">
      <alignment horizontal="left" vertical="center" wrapText="1"/>
    </xf>
    <xf numFmtId="0" fontId="44" fillId="0" borderId="32" xfId="0" applyFont="1" applyBorder="1" applyAlignment="1" applyProtection="1">
      <alignment horizontal="left" vertical="center" wrapText="1"/>
    </xf>
    <xf numFmtId="0" fontId="44" fillId="0" borderId="0" xfId="0" applyFont="1" applyAlignment="1" applyProtection="1">
      <alignment horizontal="left" vertical="center" wrapText="1"/>
    </xf>
    <xf numFmtId="0" fontId="44" fillId="0" borderId="36" xfId="0" applyFont="1" applyBorder="1" applyAlignment="1" applyProtection="1">
      <alignment horizontal="left" vertical="center" wrapText="1"/>
    </xf>
    <xf numFmtId="0" fontId="44" fillId="0" borderId="17" xfId="0" applyFont="1" applyBorder="1" applyAlignment="1" applyProtection="1">
      <alignment horizontal="left" vertical="center" wrapText="1"/>
    </xf>
    <xf numFmtId="0" fontId="44" fillId="0" borderId="18" xfId="0" applyFont="1" applyBorder="1" applyAlignment="1" applyProtection="1">
      <alignment horizontal="left" vertical="center" wrapText="1"/>
    </xf>
    <xf numFmtId="0" fontId="44" fillId="0" borderId="80" xfId="0" applyFont="1" applyBorder="1" applyAlignment="1" applyProtection="1">
      <alignment horizontal="left" vertical="center" wrapText="1"/>
    </xf>
    <xf numFmtId="0" fontId="44" fillId="25" borderId="53" xfId="0" applyFont="1" applyFill="1" applyBorder="1" applyAlignment="1" applyProtection="1">
      <alignment horizontal="left" vertical="center" wrapText="1"/>
    </xf>
    <xf numFmtId="49" fontId="44" fillId="30" borderId="12" xfId="0" applyNumberFormat="1" applyFont="1" applyFill="1" applyBorder="1" applyAlignment="1" applyProtection="1">
      <alignment horizontal="center" vertical="center" wrapText="1"/>
    </xf>
    <xf numFmtId="49" fontId="44" fillId="30" borderId="35" xfId="0" applyNumberFormat="1" applyFont="1" applyFill="1" applyBorder="1" applyAlignment="1" applyProtection="1">
      <alignment horizontal="center" vertical="center" wrapText="1"/>
    </xf>
    <xf numFmtId="49" fontId="44" fillId="30" borderId="11" xfId="0" applyNumberFormat="1" applyFont="1" applyFill="1" applyBorder="1" applyAlignment="1" applyProtection="1">
      <alignment horizontal="center" vertical="center" wrapText="1"/>
    </xf>
    <xf numFmtId="0" fontId="46" fillId="25" borderId="56" xfId="0" applyFont="1" applyFill="1" applyBorder="1" applyAlignment="1" applyProtection="1">
      <alignment horizontal="left" vertical="center" wrapText="1"/>
    </xf>
    <xf numFmtId="0" fontId="46" fillId="25" borderId="53" xfId="0" applyFont="1" applyFill="1" applyBorder="1" applyAlignment="1" applyProtection="1">
      <alignment horizontal="left" vertical="center" wrapText="1"/>
    </xf>
    <xf numFmtId="0" fontId="46" fillId="25" borderId="62" xfId="0" applyFont="1" applyFill="1" applyBorder="1" applyAlignment="1" applyProtection="1">
      <alignment vertical="center" wrapText="1"/>
    </xf>
    <xf numFmtId="0" fontId="46" fillId="25" borderId="67" xfId="0" applyFont="1" applyFill="1" applyBorder="1" applyAlignment="1" applyProtection="1">
      <alignment horizontal="left" vertical="center" wrapText="1"/>
    </xf>
    <xf numFmtId="0" fontId="46" fillId="25" borderId="108" xfId="0" applyFont="1" applyFill="1" applyBorder="1" applyAlignment="1" applyProtection="1">
      <alignment horizontal="left" vertical="center" wrapText="1"/>
    </xf>
    <xf numFmtId="0" fontId="44" fillId="0" borderId="66" xfId="0" applyFont="1" applyBorder="1" applyAlignment="1" applyProtection="1">
      <alignment horizontal="center" vertical="center" wrapText="1"/>
    </xf>
    <xf numFmtId="0" fontId="44" fillId="0" borderId="67" xfId="0" applyFont="1" applyBorder="1" applyAlignment="1" applyProtection="1">
      <alignment horizontal="center" vertical="center" wrapText="1"/>
    </xf>
    <xf numFmtId="0" fontId="44" fillId="0" borderId="38" xfId="0" applyFont="1" applyBorder="1" applyAlignment="1" applyProtection="1">
      <alignment horizontal="center" vertical="center" wrapText="1"/>
    </xf>
    <xf numFmtId="0" fontId="44" fillId="0" borderId="0" xfId="0" applyFont="1" applyAlignment="1" applyProtection="1">
      <alignment horizontal="center" vertical="center" wrapText="1"/>
    </xf>
    <xf numFmtId="0" fontId="44" fillId="0" borderId="68" xfId="0" applyFont="1" applyBorder="1" applyAlignment="1" applyProtection="1">
      <alignment horizontal="center" vertical="center" wrapText="1"/>
    </xf>
    <xf numFmtId="0" fontId="44" fillId="0" borderId="69" xfId="0" applyFont="1" applyBorder="1" applyAlignment="1" applyProtection="1">
      <alignment horizontal="center" vertical="center" wrapText="1"/>
    </xf>
    <xf numFmtId="0" fontId="44" fillId="25" borderId="86" xfId="0" applyFont="1" applyFill="1" applyBorder="1" applyAlignment="1" applyProtection="1">
      <alignment horizontal="left" vertical="center" wrapText="1"/>
    </xf>
    <xf numFmtId="0" fontId="44" fillId="25" borderId="162" xfId="0" applyFont="1" applyFill="1" applyBorder="1" applyAlignment="1" applyProtection="1">
      <alignment horizontal="left" vertical="center" wrapText="1"/>
    </xf>
    <xf numFmtId="49" fontId="44" fillId="30" borderId="14" xfId="0" applyNumberFormat="1" applyFont="1" applyFill="1" applyBorder="1" applyAlignment="1" applyProtection="1">
      <alignment horizontal="center" vertical="center" wrapText="1"/>
    </xf>
    <xf numFmtId="49" fontId="44" fillId="30" borderId="20" xfId="0" applyNumberFormat="1" applyFont="1" applyFill="1" applyBorder="1" applyAlignment="1" applyProtection="1">
      <alignment horizontal="center" vertical="center" wrapText="1"/>
    </xf>
    <xf numFmtId="49" fontId="44" fillId="30" borderId="37" xfId="0" applyNumberFormat="1" applyFont="1" applyFill="1" applyBorder="1" applyAlignment="1" applyProtection="1">
      <alignment horizontal="center" vertical="center" wrapText="1"/>
    </xf>
    <xf numFmtId="0" fontId="46" fillId="25" borderId="0" xfId="0" applyFont="1" applyFill="1" applyAlignment="1" applyProtection="1">
      <alignment vertical="center" wrapText="1"/>
    </xf>
    <xf numFmtId="0" fontId="46" fillId="25" borderId="58" xfId="0" applyFont="1" applyFill="1" applyBorder="1" applyAlignment="1" applyProtection="1">
      <alignment horizontal="left" vertical="center" wrapText="1"/>
    </xf>
    <xf numFmtId="0" fontId="46" fillId="25" borderId="84" xfId="0" applyFont="1" applyFill="1" applyBorder="1" applyAlignment="1" applyProtection="1">
      <alignment horizontal="left" vertical="center" wrapText="1"/>
    </xf>
    <xf numFmtId="0" fontId="56" fillId="0" borderId="57" xfId="0" applyFont="1" applyBorder="1" applyAlignment="1" applyProtection="1">
      <alignment horizontal="left" vertical="center"/>
    </xf>
    <xf numFmtId="0" fontId="56" fillId="0" borderId="58" xfId="0" applyFont="1" applyBorder="1" applyAlignment="1" applyProtection="1">
      <alignment horizontal="left" vertical="center"/>
    </xf>
    <xf numFmtId="0" fontId="56" fillId="0" borderId="59" xfId="0" applyFont="1" applyBorder="1" applyAlignment="1" applyProtection="1">
      <alignment horizontal="left" vertical="center"/>
    </xf>
    <xf numFmtId="0" fontId="50" fillId="33" borderId="33" xfId="0" applyFont="1" applyFill="1" applyBorder="1" applyAlignment="1" applyProtection="1">
      <alignment horizontal="center" vertical="center"/>
    </xf>
    <xf numFmtId="0" fontId="50" fillId="33" borderId="163"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0" fontId="61" fillId="25" borderId="0" xfId="0" applyFont="1" applyFill="1" applyAlignment="1" applyProtection="1">
      <alignment horizontal="left" vertical="center" wrapText="1"/>
    </xf>
    <xf numFmtId="176" fontId="33" fillId="25" borderId="14" xfId="0" applyNumberFormat="1" applyFont="1" applyFill="1" applyBorder="1" applyProtection="1">
      <alignment vertical="center"/>
    </xf>
    <xf numFmtId="176" fontId="33" fillId="25" borderId="20" xfId="0" applyNumberFormat="1" applyFont="1" applyFill="1" applyBorder="1" applyProtection="1">
      <alignment vertical="center"/>
    </xf>
    <xf numFmtId="0" fontId="56" fillId="30" borderId="0" xfId="0" applyFont="1" applyFill="1" applyAlignment="1" applyProtection="1">
      <alignment horizontal="center" vertical="center" textRotation="255"/>
    </xf>
    <xf numFmtId="0" fontId="56" fillId="30" borderId="16" xfId="0" applyFont="1" applyFill="1" applyBorder="1" applyAlignment="1" applyProtection="1">
      <alignment horizontal="center" vertical="center" textRotation="255"/>
    </xf>
    <xf numFmtId="0" fontId="56" fillId="30" borderId="18" xfId="0" applyFont="1" applyFill="1" applyBorder="1" applyAlignment="1" applyProtection="1">
      <alignment horizontal="center" vertical="center" textRotation="255"/>
    </xf>
    <xf numFmtId="0" fontId="56" fillId="30" borderId="19" xfId="0" applyFont="1" applyFill="1" applyBorder="1" applyAlignment="1" applyProtection="1">
      <alignment horizontal="center" vertical="center" textRotation="255"/>
    </xf>
    <xf numFmtId="38" fontId="50" fillId="25" borderId="30" xfId="34" applyFont="1" applyFill="1" applyBorder="1" applyAlignment="1" applyProtection="1">
      <alignment horizontal="right" vertical="center" shrinkToFit="1"/>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pplyProtection="1">
      <alignment horizontal="left" vertical="center"/>
    </xf>
    <xf numFmtId="0" fontId="50" fillId="0" borderId="35" xfId="0" applyFont="1" applyBorder="1" applyAlignment="1" applyProtection="1">
      <alignment horizontal="left" vertical="center"/>
    </xf>
    <xf numFmtId="0" fontId="50" fillId="0" borderId="11" xfId="0" applyFont="1" applyBorder="1" applyAlignment="1" applyProtection="1">
      <alignment horizontal="left" vertical="center"/>
    </xf>
    <xf numFmtId="0" fontId="44" fillId="0" borderId="12" xfId="0" applyFont="1" applyBorder="1" applyAlignment="1" applyProtection="1">
      <alignment horizontal="left" vertical="center" wrapText="1"/>
    </xf>
    <xf numFmtId="0" fontId="50" fillId="0" borderId="35" xfId="0" applyFont="1" applyBorder="1" applyAlignment="1" applyProtection="1">
      <alignment horizontal="left" vertical="center" wrapText="1"/>
    </xf>
    <xf numFmtId="0" fontId="50" fillId="0" borderId="11" xfId="0" applyFont="1" applyBorder="1" applyAlignment="1" applyProtection="1">
      <alignment horizontal="left" vertical="center" wrapText="1"/>
    </xf>
    <xf numFmtId="0" fontId="58" fillId="30" borderId="25" xfId="0" applyFont="1" applyFill="1" applyBorder="1" applyAlignment="1" applyProtection="1">
      <alignment horizontal="center" vertical="center" wrapText="1"/>
    </xf>
    <xf numFmtId="0" fontId="58" fillId="30" borderId="30" xfId="0" applyFont="1" applyFill="1" applyBorder="1" applyAlignment="1" applyProtection="1">
      <alignment horizontal="center" vertical="center" wrapText="1"/>
    </xf>
    <xf numFmtId="0" fontId="58" fillId="30" borderId="31" xfId="0" applyFont="1" applyFill="1" applyBorder="1" applyAlignment="1" applyProtection="1">
      <alignment horizontal="center" vertical="center" wrapText="1"/>
    </xf>
    <xf numFmtId="0" fontId="53" fillId="25" borderId="54" xfId="0" applyFont="1" applyFill="1" applyBorder="1" applyAlignment="1" applyProtection="1">
      <alignment horizontal="left" vertical="center" wrapText="1"/>
    </xf>
    <xf numFmtId="0" fontId="53" fillId="25" borderId="35" xfId="0" applyFont="1" applyFill="1" applyBorder="1" applyAlignment="1" applyProtection="1">
      <alignment horizontal="left" vertical="center" wrapText="1"/>
    </xf>
    <xf numFmtId="0" fontId="44" fillId="25" borderId="99" xfId="0" applyFont="1" applyFill="1" applyBorder="1" applyAlignment="1" applyProtection="1">
      <alignment vertical="center" shrinkToFit="1"/>
    </xf>
    <xf numFmtId="0" fontId="44" fillId="25" borderId="100" xfId="0" applyFont="1" applyFill="1" applyBorder="1" applyAlignment="1" applyProtection="1">
      <alignment vertical="center" shrinkToFit="1"/>
    </xf>
    <xf numFmtId="0" fontId="56" fillId="0" borderId="60" xfId="0" applyFont="1" applyBorder="1" applyAlignment="1" applyProtection="1">
      <alignment horizontal="left" vertical="center"/>
    </xf>
    <xf numFmtId="0" fontId="56" fillId="0" borderId="49" xfId="0" applyFont="1" applyBorder="1" applyAlignment="1" applyProtection="1">
      <alignment horizontal="left" vertical="center"/>
    </xf>
    <xf numFmtId="0" fontId="56" fillId="0" borderId="61" xfId="0" applyFont="1" applyBorder="1" applyAlignment="1" applyProtection="1">
      <alignment horizontal="left" vertical="center"/>
    </xf>
    <xf numFmtId="0" fontId="29" fillId="0" borderId="39" xfId="0" quotePrefix="1" applyFont="1" applyBorder="1" applyAlignment="1" applyProtection="1">
      <alignment horizontal="center" vertical="center"/>
    </xf>
    <xf numFmtId="0" fontId="29" fillId="0" borderId="44" xfId="0" quotePrefix="1" applyFont="1" applyBorder="1" applyAlignment="1" applyProtection="1">
      <alignment horizontal="center" vertical="center"/>
    </xf>
    <xf numFmtId="0" fontId="29" fillId="0" borderId="107" xfId="0" quotePrefix="1" applyFont="1" applyBorder="1" applyAlignment="1" applyProtection="1">
      <alignment horizontal="center" vertical="center"/>
    </xf>
    <xf numFmtId="0" fontId="56" fillId="25" borderId="64" xfId="0" applyFont="1" applyFill="1" applyBorder="1" applyAlignment="1" applyProtection="1">
      <alignment horizontal="left" vertical="center" wrapText="1"/>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44" fillId="30" borderId="14" xfId="0" applyFont="1" applyFill="1" applyBorder="1" applyAlignment="1" applyProtection="1">
      <alignment horizontal="center" vertical="center" wrapText="1"/>
    </xf>
    <xf numFmtId="0" fontId="44" fillId="30" borderId="20" xfId="0" applyFont="1" applyFill="1" applyBorder="1" applyAlignment="1" applyProtection="1">
      <alignment horizontal="center" vertical="center" wrapText="1"/>
    </xf>
    <xf numFmtId="0" fontId="44" fillId="30" borderId="37" xfId="0" applyFont="1" applyFill="1" applyBorder="1" applyAlignment="1" applyProtection="1">
      <alignment horizontal="center" vertical="center" wrapText="1"/>
    </xf>
    <xf numFmtId="0" fontId="44" fillId="0" borderId="130" xfId="0" applyFont="1" applyBorder="1" applyAlignment="1" applyProtection="1">
      <alignment horizontal="center" vertical="center" wrapText="1"/>
    </xf>
    <xf numFmtId="0" fontId="44" fillId="0" borderId="56" xfId="0" applyFont="1" applyBorder="1" applyAlignment="1" applyProtection="1">
      <alignment horizontal="center" vertical="center" wrapText="1"/>
    </xf>
    <xf numFmtId="0" fontId="44" fillId="0" borderId="53" xfId="0" applyFont="1" applyBorder="1" applyAlignment="1" applyProtection="1">
      <alignment horizontal="center"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44" fillId="0" borderId="167" xfId="0" applyFont="1" applyBorder="1" applyAlignment="1" applyProtection="1">
      <alignment horizontal="left" vertical="center" wrapText="1"/>
    </xf>
    <xf numFmtId="0" fontId="44" fillId="0" borderId="56" xfId="0" applyFont="1" applyBorder="1" applyAlignment="1" applyProtection="1">
      <alignment horizontal="left" vertical="center" wrapText="1"/>
    </xf>
    <xf numFmtId="0" fontId="44" fillId="0" borderId="53" xfId="0" applyFont="1" applyBorder="1" applyAlignment="1" applyProtection="1">
      <alignment horizontal="left" vertical="center" wrapText="1"/>
    </xf>
    <xf numFmtId="0" fontId="44" fillId="0" borderId="14" xfId="0" applyFont="1" applyBorder="1" applyAlignment="1" applyProtection="1">
      <alignment vertical="center" wrapText="1"/>
    </xf>
    <xf numFmtId="0" fontId="44" fillId="0" borderId="20" xfId="0" applyFont="1" applyBorder="1" applyAlignment="1" applyProtection="1">
      <alignment vertical="center" wrapText="1"/>
    </xf>
    <xf numFmtId="0" fontId="44" fillId="0" borderId="32" xfId="0" applyFont="1" applyBorder="1" applyAlignment="1" applyProtection="1">
      <alignment vertical="center" wrapText="1"/>
    </xf>
    <xf numFmtId="0" fontId="44" fillId="0" borderId="17" xfId="0" applyFont="1" applyBorder="1" applyAlignment="1" applyProtection="1">
      <alignment vertical="center" wrapText="1"/>
    </xf>
    <xf numFmtId="0" fontId="44" fillId="0" borderId="18" xfId="0" applyFont="1" applyBorder="1" applyAlignment="1" applyProtection="1">
      <alignment vertical="center" wrapText="1"/>
    </xf>
    <xf numFmtId="0" fontId="44" fillId="33" borderId="10" xfId="0" applyFont="1" applyFill="1" applyBorder="1" applyAlignment="1" applyProtection="1">
      <alignment horizontal="center" vertical="center"/>
      <protection locked="0"/>
    </xf>
    <xf numFmtId="0" fontId="66" fillId="33" borderId="0" xfId="0" applyFont="1" applyFill="1" applyAlignment="1" applyProtection="1">
      <alignment vertical="center" shrinkToFit="1"/>
      <protection locked="0"/>
    </xf>
    <xf numFmtId="0" fontId="44" fillId="25" borderId="14" xfId="0" applyFont="1" applyFill="1" applyBorder="1" applyAlignment="1" applyProtection="1">
      <alignment horizontal="center" vertical="center" wrapText="1"/>
    </xf>
    <xf numFmtId="0" fontId="44" fillId="25" borderId="20" xfId="0" applyFont="1" applyFill="1" applyBorder="1" applyAlignment="1" applyProtection="1">
      <alignment horizontal="center" vertical="center" wrapText="1"/>
    </xf>
    <xf numFmtId="0" fontId="44" fillId="25" borderId="37" xfId="0" applyFont="1" applyFill="1" applyBorder="1" applyAlignment="1" applyProtection="1">
      <alignment horizontal="center" vertical="center" wrapText="1"/>
    </xf>
    <xf numFmtId="0" fontId="44" fillId="25" borderId="17" xfId="0" applyFont="1" applyFill="1" applyBorder="1" applyAlignment="1" applyProtection="1">
      <alignment horizontal="center" vertical="center" wrapText="1"/>
    </xf>
    <xf numFmtId="0" fontId="44" fillId="25" borderId="18" xfId="0" applyFont="1" applyFill="1" applyBorder="1" applyAlignment="1" applyProtection="1">
      <alignment horizontal="center" vertical="center" wrapText="1"/>
    </xf>
    <xf numFmtId="0" fontId="44" fillId="25" borderId="80" xfId="0" applyFont="1" applyFill="1" applyBorder="1" applyAlignment="1" applyProtection="1">
      <alignment horizontal="center" vertical="center" wrapText="1"/>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pplyProtection="1">
      <alignment horizontal="left" vertical="top" wrapText="1"/>
    </xf>
    <xf numFmtId="0" fontId="44" fillId="0" borderId="18" xfId="0" applyFont="1" applyBorder="1" applyAlignment="1" applyProtection="1">
      <alignment horizontal="left" vertical="top" wrapText="1"/>
    </xf>
    <xf numFmtId="0" fontId="44" fillId="25" borderId="14" xfId="0" applyFont="1" applyFill="1" applyBorder="1" applyAlignment="1" applyProtection="1">
      <alignment horizontal="left" vertical="top" wrapText="1"/>
    </xf>
    <xf numFmtId="0" fontId="44" fillId="25" borderId="20" xfId="0" applyFont="1" applyFill="1" applyBorder="1" applyAlignment="1" applyProtection="1">
      <alignment horizontal="left" vertical="top" wrapText="1"/>
    </xf>
    <xf numFmtId="0" fontId="51" fillId="30" borderId="10" xfId="0" applyFont="1" applyFill="1" applyBorder="1" applyAlignment="1" applyProtection="1">
      <alignment horizontal="center" vertical="center"/>
    </xf>
    <xf numFmtId="0" fontId="44" fillId="25" borderId="0" xfId="0" applyFont="1" applyFill="1" applyAlignment="1" applyProtection="1">
      <alignment horizontal="left" vertical="top" wrapText="1"/>
    </xf>
    <xf numFmtId="0" fontId="66" fillId="25" borderId="0" xfId="0" applyFont="1" applyFill="1" applyAlignment="1" applyProtection="1">
      <alignment horizontal="center" vertical="center" wrapText="1"/>
    </xf>
    <xf numFmtId="0" fontId="56" fillId="0" borderId="127" xfId="0" applyFont="1" applyBorder="1" applyAlignment="1" applyProtection="1">
      <alignment horizontal="left" vertical="center"/>
    </xf>
    <xf numFmtId="0" fontId="56" fillId="0" borderId="62" xfId="0" applyFont="1" applyBorder="1" applyAlignment="1" applyProtection="1">
      <alignment horizontal="left" vertical="center"/>
    </xf>
    <xf numFmtId="0" fontId="56" fillId="0" borderId="63" xfId="0" applyFont="1" applyBorder="1" applyAlignment="1" applyProtection="1">
      <alignment horizontal="left" vertical="center"/>
    </xf>
    <xf numFmtId="0" fontId="66" fillId="25" borderId="0" xfId="0" applyFont="1" applyFill="1" applyAlignment="1" applyProtection="1">
      <alignment horizontal="center" vertical="center"/>
    </xf>
    <xf numFmtId="0" fontId="53" fillId="25" borderId="0" xfId="0" applyFont="1" applyFill="1" applyAlignment="1" applyProtection="1">
      <alignment horizontal="center" vertical="center"/>
    </xf>
    <xf numFmtId="0" fontId="46" fillId="25" borderId="69" xfId="0" applyFont="1" applyFill="1" applyBorder="1" applyAlignment="1" applyProtection="1">
      <alignment horizontal="left" vertical="center" wrapText="1"/>
    </xf>
    <xf numFmtId="0" fontId="49" fillId="25" borderId="0" xfId="0" applyFont="1" applyFill="1" applyAlignment="1" applyProtection="1">
      <alignment horizontal="left" vertical="center"/>
    </xf>
    <xf numFmtId="0" fontId="44" fillId="0" borderId="0" xfId="0" applyFont="1" applyAlignment="1" applyProtection="1">
      <alignment horizontal="left" vertical="top" wrapText="1"/>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10" xfId="0" applyFont="1" applyFill="1" applyBorder="1" applyAlignment="1" applyProtection="1">
      <alignment horizontal="center" vertical="center"/>
    </xf>
    <xf numFmtId="0" fontId="46" fillId="25" borderId="49" xfId="0" applyFont="1" applyFill="1" applyBorder="1" applyAlignment="1" applyProtection="1">
      <alignment horizontal="left" vertical="center"/>
    </xf>
    <xf numFmtId="0" fontId="46" fillId="25" borderId="52" xfId="0" applyFont="1" applyFill="1" applyBorder="1" applyAlignment="1" applyProtection="1">
      <alignment horizontal="left" vertical="center"/>
    </xf>
    <xf numFmtId="49" fontId="41" fillId="25" borderId="0" xfId="0" applyNumberFormat="1" applyFont="1" applyFill="1" applyProtection="1">
      <alignment vertical="center"/>
    </xf>
    <xf numFmtId="0" fontId="45" fillId="30" borderId="109" xfId="0" applyFont="1" applyFill="1" applyBorder="1" applyAlignment="1" applyProtection="1">
      <alignment horizontal="center" vertical="center"/>
    </xf>
    <xf numFmtId="0" fontId="45" fillId="30" borderId="157" xfId="0" applyFont="1" applyFill="1" applyBorder="1" applyAlignment="1" applyProtection="1">
      <alignment horizontal="center" vertical="center"/>
    </xf>
    <xf numFmtId="0" fontId="44" fillId="25" borderId="12" xfId="0" applyFont="1" applyFill="1" applyBorder="1" applyAlignment="1" applyProtection="1">
      <alignment horizontal="left" vertical="center" wrapText="1"/>
    </xf>
    <xf numFmtId="0" fontId="37" fillId="27" borderId="25" xfId="0" applyFont="1" applyFill="1" applyBorder="1" applyAlignment="1" applyProtection="1">
      <alignment horizontal="center" vertical="center" wrapText="1"/>
    </xf>
    <xf numFmtId="0" fontId="37" fillId="27" borderId="31" xfId="0" applyFont="1" applyFill="1" applyBorder="1" applyAlignment="1" applyProtection="1">
      <alignment horizontal="center" vertical="center" wrapText="1"/>
    </xf>
    <xf numFmtId="0" fontId="59" fillId="0" borderId="35" xfId="0" applyFont="1" applyBorder="1" applyAlignment="1" applyProtection="1">
      <alignment horizontal="left" vertical="center" wrapText="1"/>
    </xf>
    <xf numFmtId="0" fontId="59" fillId="0" borderId="11" xfId="0" applyFont="1" applyBorder="1" applyAlignment="1" applyProtection="1">
      <alignment horizontal="left" vertical="center" wrapText="1"/>
    </xf>
    <xf numFmtId="0" fontId="29" fillId="0" borderId="16" xfId="0" applyFont="1" applyBorder="1" applyAlignment="1" applyProtection="1">
      <alignment horizontal="center" vertical="center" wrapText="1" shrinkToFit="1"/>
    </xf>
    <xf numFmtId="0" fontId="29" fillId="0" borderId="160" xfId="0" applyFont="1" applyBorder="1" applyAlignment="1" applyProtection="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pplyProtection="1">
      <alignment horizontal="left" vertical="center" wrapText="1"/>
    </xf>
    <xf numFmtId="0" fontId="46" fillId="0" borderId="20" xfId="0" applyFont="1" applyBorder="1" applyAlignment="1" applyProtection="1">
      <alignment horizontal="left" vertical="center" wrapText="1"/>
    </xf>
    <xf numFmtId="0" fontId="46" fillId="0" borderId="37" xfId="0" applyFont="1" applyBorder="1" applyAlignment="1" applyProtection="1">
      <alignment horizontal="left" vertical="center" wrapText="1"/>
    </xf>
    <xf numFmtId="0" fontId="46" fillId="0" borderId="17" xfId="0" applyFont="1" applyBorder="1" applyAlignment="1" applyProtection="1">
      <alignment horizontal="left" vertical="center" wrapText="1"/>
    </xf>
    <xf numFmtId="0" fontId="46" fillId="0" borderId="18" xfId="0" applyFont="1" applyBorder="1" applyAlignment="1" applyProtection="1">
      <alignment horizontal="left" vertical="center" wrapText="1"/>
    </xf>
    <xf numFmtId="0" fontId="46" fillId="0" borderId="80" xfId="0" applyFont="1" applyBorder="1" applyAlignment="1" applyProtection="1">
      <alignment horizontal="left" vertical="center" wrapText="1"/>
    </xf>
    <xf numFmtId="0" fontId="49" fillId="0" borderId="0" xfId="0" applyFont="1" applyAlignment="1" applyProtection="1">
      <alignment horizontal="left" vertical="top" wrapText="1"/>
    </xf>
    <xf numFmtId="0" fontId="44" fillId="30" borderId="12" xfId="0" applyFont="1" applyFill="1" applyBorder="1" applyAlignment="1" applyProtection="1">
      <alignment horizontal="left" vertical="center"/>
    </xf>
    <xf numFmtId="0" fontId="44" fillId="30" borderId="35" xfId="0" applyFont="1" applyFill="1" applyBorder="1" applyAlignment="1" applyProtection="1">
      <alignment horizontal="left" vertical="center"/>
    </xf>
    <xf numFmtId="0" fontId="44" fillId="30" borderId="11" xfId="0" applyFont="1" applyFill="1" applyBorder="1" applyAlignment="1" applyProtection="1">
      <alignment horizontal="left" vertical="center"/>
    </xf>
    <xf numFmtId="0" fontId="50" fillId="25" borderId="194" xfId="0" applyFont="1" applyFill="1" applyBorder="1" applyAlignment="1" applyProtection="1">
      <alignment horizontal="left" vertical="center"/>
    </xf>
    <xf numFmtId="0" fontId="50" fillId="25" borderId="69" xfId="0" applyFont="1" applyFill="1" applyBorder="1" applyAlignment="1" applyProtection="1">
      <alignment horizontal="left" vertical="center"/>
    </xf>
    <xf numFmtId="0" fontId="50" fillId="25" borderId="195" xfId="0" applyFont="1" applyFill="1" applyBorder="1" applyAlignment="1" applyProtection="1">
      <alignment horizontal="left" vertical="center"/>
    </xf>
    <xf numFmtId="0" fontId="50" fillId="25" borderId="17" xfId="0" applyFont="1" applyFill="1" applyBorder="1" applyAlignment="1" applyProtection="1">
      <alignment horizontal="left" vertical="center"/>
    </xf>
    <xf numFmtId="0" fontId="50" fillId="25" borderId="18" xfId="0" applyFont="1" applyFill="1" applyBorder="1" applyAlignment="1" applyProtection="1">
      <alignment horizontal="left" vertical="center"/>
    </xf>
    <xf numFmtId="0" fontId="50" fillId="25" borderId="19" xfId="0" applyFont="1" applyFill="1" applyBorder="1" applyAlignment="1" applyProtection="1">
      <alignment horizontal="left" vertical="center"/>
    </xf>
    <xf numFmtId="0" fontId="50" fillId="25" borderId="14" xfId="0" applyFont="1" applyFill="1" applyBorder="1" applyAlignment="1" applyProtection="1">
      <alignment horizontal="center" vertical="center" wrapText="1"/>
    </xf>
    <xf numFmtId="0" fontId="50" fillId="25" borderId="20" xfId="0" applyFont="1" applyFill="1" applyBorder="1" applyAlignment="1" applyProtection="1">
      <alignment horizontal="center" vertical="center" wrapText="1"/>
    </xf>
    <xf numFmtId="0" fontId="50" fillId="25" borderId="15" xfId="0" applyFont="1" applyFill="1" applyBorder="1" applyAlignment="1" applyProtection="1">
      <alignment horizontal="center" vertical="center" wrapText="1"/>
    </xf>
    <xf numFmtId="0" fontId="50" fillId="25" borderId="32" xfId="0" applyFont="1" applyFill="1" applyBorder="1" applyAlignment="1" applyProtection="1">
      <alignment horizontal="center" vertical="center" wrapText="1"/>
    </xf>
    <xf numFmtId="0" fontId="50" fillId="25" borderId="0" xfId="0" applyFont="1" applyFill="1" applyAlignment="1" applyProtection="1">
      <alignment horizontal="center" vertical="center" wrapText="1"/>
    </xf>
    <xf numFmtId="0" fontId="50" fillId="25" borderId="16" xfId="0" applyFont="1" applyFill="1" applyBorder="1" applyAlignment="1" applyProtection="1">
      <alignment horizontal="center" vertical="center" wrapText="1"/>
    </xf>
    <xf numFmtId="0" fontId="50" fillId="25" borderId="83" xfId="0" applyFont="1" applyFill="1" applyBorder="1" applyAlignment="1" applyProtection="1">
      <alignment horizontal="center" vertical="center" wrapText="1"/>
    </xf>
    <xf numFmtId="0" fontId="50" fillId="25" borderId="58" xfId="0" applyFont="1" applyFill="1" applyBorder="1" applyAlignment="1" applyProtection="1">
      <alignment horizontal="center" vertical="center" wrapText="1"/>
    </xf>
    <xf numFmtId="0" fontId="50" fillId="25" borderId="59" xfId="0" applyFont="1" applyFill="1" applyBorder="1" applyAlignment="1" applyProtection="1">
      <alignment horizontal="center" vertical="center" wrapText="1"/>
    </xf>
    <xf numFmtId="0" fontId="50" fillId="25" borderId="11" xfId="0" applyFont="1" applyFill="1" applyBorder="1" applyAlignment="1" applyProtection="1">
      <alignment horizontal="center" vertical="center"/>
    </xf>
    <xf numFmtId="0" fontId="50" fillId="25" borderId="10" xfId="0" applyFont="1" applyFill="1" applyBorder="1" applyAlignment="1" applyProtection="1">
      <alignment horizontal="center" vertical="center"/>
    </xf>
    <xf numFmtId="0" fontId="56" fillId="25" borderId="35" xfId="0" applyFont="1" applyFill="1" applyBorder="1" applyAlignment="1" applyProtection="1">
      <alignment horizontal="left" vertical="center"/>
    </xf>
    <xf numFmtId="0" fontId="56" fillId="25" borderId="11" xfId="0" applyFont="1" applyFill="1" applyBorder="1" applyAlignment="1" applyProtection="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pplyProtection="1">
      <alignment horizontal="left" vertical="center"/>
    </xf>
    <xf numFmtId="0" fontId="50" fillId="25" borderId="12" xfId="0" applyFont="1" applyFill="1" applyBorder="1" applyAlignment="1" applyProtection="1">
      <alignment horizontal="center" vertical="center" shrinkToFit="1"/>
    </xf>
    <xf numFmtId="0" fontId="50" fillId="25" borderId="35" xfId="0" applyFont="1" applyFill="1" applyBorder="1" applyAlignment="1" applyProtection="1">
      <alignment horizontal="center" vertical="center" shrinkToFit="1"/>
    </xf>
    <xf numFmtId="0" fontId="50" fillId="25" borderId="11" xfId="0" applyFont="1" applyFill="1" applyBorder="1" applyAlignment="1" applyProtection="1">
      <alignment horizontal="center" vertical="center" shrinkToFit="1"/>
    </xf>
    <xf numFmtId="0" fontId="50" fillId="25" borderId="12" xfId="0" applyFont="1" applyFill="1" applyBorder="1" applyAlignment="1" applyProtection="1">
      <alignment horizontal="center" vertical="center"/>
    </xf>
    <xf numFmtId="0" fontId="50" fillId="25" borderId="35" xfId="0" applyFont="1" applyFill="1" applyBorder="1" applyAlignment="1" applyProtection="1">
      <alignment horizontal="center" vertical="center"/>
    </xf>
    <xf numFmtId="0" fontId="49" fillId="25" borderId="25" xfId="0" applyFont="1" applyFill="1" applyBorder="1" applyAlignment="1" applyProtection="1">
      <alignment horizontal="left" vertical="center" wrapText="1"/>
    </xf>
    <xf numFmtId="0" fontId="49" fillId="25" borderId="30" xfId="0" applyFont="1" applyFill="1" applyBorder="1" applyAlignment="1" applyProtection="1">
      <alignment horizontal="left" vertical="center" wrapText="1"/>
    </xf>
    <xf numFmtId="0" fontId="49" fillId="25" borderId="31" xfId="0" applyFont="1" applyFill="1" applyBorder="1" applyAlignment="1" applyProtection="1">
      <alignment horizontal="left" vertical="center" wrapText="1"/>
    </xf>
    <xf numFmtId="0" fontId="42" fillId="25" borderId="10" xfId="0" applyFont="1" applyFill="1" applyBorder="1" applyAlignment="1" applyProtection="1">
      <alignment horizontal="center" vertical="center"/>
    </xf>
    <xf numFmtId="0" fontId="50" fillId="33" borderId="23" xfId="0" applyFont="1" applyFill="1" applyBorder="1" applyAlignment="1" applyProtection="1">
      <alignment horizontal="center" vertical="center"/>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25" borderId="83" xfId="0" applyFont="1" applyFill="1" applyBorder="1" applyAlignment="1" applyProtection="1">
      <alignment horizontal="center" vertical="center"/>
    </xf>
    <xf numFmtId="0" fontId="50" fillId="25" borderId="58" xfId="0" applyFont="1" applyFill="1" applyBorder="1" applyAlignment="1" applyProtection="1">
      <alignment horizontal="center" vertical="center"/>
    </xf>
    <xf numFmtId="0" fontId="50" fillId="25" borderId="59" xfId="0" applyFont="1" applyFill="1" applyBorder="1" applyAlignment="1" applyProtection="1">
      <alignment horizontal="center" vertical="center"/>
    </xf>
    <xf numFmtId="0" fontId="50" fillId="25" borderId="58" xfId="0" applyFont="1" applyFill="1" applyBorder="1" applyAlignment="1" applyProtection="1">
      <alignment horizontal="left" vertical="center"/>
    </xf>
    <xf numFmtId="0" fontId="50" fillId="25" borderId="59" xfId="0" applyFont="1" applyFill="1" applyBorder="1" applyAlignment="1" applyProtection="1">
      <alignment horizontal="left" vertical="center"/>
    </xf>
    <xf numFmtId="0" fontId="50" fillId="25" borderId="18" xfId="0" applyFont="1" applyFill="1" applyBorder="1" applyAlignment="1" applyProtection="1">
      <alignment horizontal="left" vertical="center" wrapText="1"/>
    </xf>
    <xf numFmtId="0" fontId="50" fillId="25" borderId="19" xfId="0" applyFont="1" applyFill="1" applyBorder="1" applyAlignment="1" applyProtection="1">
      <alignment horizontal="left" vertical="center" wrapText="1"/>
    </xf>
    <xf numFmtId="0" fontId="50" fillId="25" borderId="17" xfId="0" applyFont="1" applyFill="1" applyBorder="1" applyAlignment="1" applyProtection="1">
      <alignment horizontal="center" vertical="center"/>
    </xf>
    <xf numFmtId="0" fontId="50" fillId="25" borderId="18" xfId="0" applyFont="1" applyFill="1" applyBorder="1" applyAlignment="1" applyProtection="1">
      <alignment horizontal="center" vertical="center"/>
    </xf>
    <xf numFmtId="0" fontId="50" fillId="25" borderId="19" xfId="0" applyFont="1" applyFill="1" applyBorder="1" applyAlignment="1" applyProtection="1">
      <alignment horizontal="center" vertical="center"/>
    </xf>
    <xf numFmtId="0" fontId="59" fillId="0" borderId="10" xfId="0" applyFont="1" applyBorder="1" applyAlignment="1" applyProtection="1">
      <alignment horizontal="left" vertical="center" wrapText="1"/>
    </xf>
    <xf numFmtId="0" fontId="50" fillId="25" borderId="23" xfId="0" applyFont="1" applyFill="1" applyBorder="1" applyAlignment="1" applyProtection="1">
      <alignment horizontal="center" vertical="center"/>
    </xf>
    <xf numFmtId="0" fontId="48" fillId="25" borderId="0" xfId="0" applyFont="1" applyFill="1" applyAlignment="1" applyProtection="1">
      <alignment horizontal="center" vertical="center"/>
    </xf>
    <xf numFmtId="0" fontId="50" fillId="25" borderId="69" xfId="0" applyFont="1" applyFill="1" applyBorder="1" applyProtection="1">
      <alignment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49" fillId="0" borderId="0" xfId="0" applyFont="1" applyAlignment="1" applyProtection="1">
      <alignment horizontal="left" vertical="center"/>
    </xf>
    <xf numFmtId="0" fontId="44" fillId="0" borderId="38" xfId="0" applyFont="1" applyBorder="1" applyAlignment="1" applyProtection="1">
      <alignment horizontal="left" vertical="center" wrapText="1"/>
    </xf>
    <xf numFmtId="0" fontId="44" fillId="0" borderId="15" xfId="0" applyFont="1" applyBorder="1" applyAlignment="1" applyProtection="1">
      <alignment horizontal="left" vertical="center" wrapText="1"/>
    </xf>
    <xf numFmtId="0" fontId="44" fillId="0" borderId="161" xfId="0" applyFont="1" applyBorder="1" applyAlignment="1" applyProtection="1">
      <alignment horizontal="left" vertical="center"/>
    </xf>
    <xf numFmtId="0" fontId="44" fillId="0" borderId="18" xfId="0" applyFont="1" applyBorder="1" applyAlignment="1" applyProtection="1">
      <alignment horizontal="left" vertical="center"/>
    </xf>
    <xf numFmtId="0" fontId="44" fillId="0" borderId="19" xfId="0" applyFont="1" applyBorder="1" applyAlignment="1" applyProtection="1">
      <alignment horizontal="left" vertical="center"/>
    </xf>
    <xf numFmtId="0" fontId="56" fillId="30" borderId="20" xfId="0" applyFont="1" applyFill="1" applyBorder="1" applyAlignment="1" applyProtection="1">
      <alignment horizontal="center" vertical="center" textRotation="255" wrapText="1"/>
    </xf>
    <xf numFmtId="0" fontId="56" fillId="30" borderId="15"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wrapText="1"/>
    </xf>
    <xf numFmtId="0" fontId="53" fillId="0" borderId="11" xfId="0" applyFont="1" applyBorder="1" applyAlignment="1" applyProtection="1">
      <alignment horizontal="left" vertical="center" wrapText="1"/>
    </xf>
    <xf numFmtId="0" fontId="53" fillId="0" borderId="10" xfId="0" applyFont="1" applyBorder="1" applyAlignment="1" applyProtection="1">
      <alignment horizontal="left" vertical="center" wrapText="1"/>
    </xf>
    <xf numFmtId="0" fontId="53" fillId="0" borderId="12" xfId="0" applyFont="1" applyBorder="1" applyAlignment="1" applyProtection="1">
      <alignment horizontal="left" vertical="center" wrapText="1"/>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56" fillId="0" borderId="48" xfId="0" applyFont="1" applyBorder="1" applyAlignment="1" applyProtection="1">
      <alignment horizontal="center" vertical="center"/>
    </xf>
    <xf numFmtId="0" fontId="56" fillId="0" borderId="173" xfId="0" applyFont="1" applyBorder="1" applyAlignment="1" applyProtection="1">
      <alignment horizontal="center" vertical="center"/>
    </xf>
    <xf numFmtId="0" fontId="56" fillId="0" borderId="48" xfId="0" applyFont="1" applyBorder="1" applyAlignment="1" applyProtection="1">
      <alignment horizontal="left" vertical="center"/>
    </xf>
    <xf numFmtId="0" fontId="56" fillId="0" borderId="172" xfId="0" applyFont="1" applyBorder="1" applyAlignment="1" applyProtection="1">
      <alignment horizontal="left" vertical="center"/>
    </xf>
    <xf numFmtId="0" fontId="56" fillId="0" borderId="173" xfId="0" applyFont="1" applyBorder="1" applyAlignment="1" applyProtection="1">
      <alignment horizontal="left" vertical="center"/>
    </xf>
    <xf numFmtId="0" fontId="56" fillId="0" borderId="174" xfId="0" applyFont="1" applyBorder="1" applyAlignment="1" applyProtection="1">
      <alignment horizontal="left" vertical="center"/>
    </xf>
    <xf numFmtId="0" fontId="56" fillId="0" borderId="48" xfId="0" applyFont="1" applyBorder="1" applyAlignment="1" applyProtection="1">
      <alignment horizontal="left" vertical="center" wrapText="1"/>
    </xf>
    <xf numFmtId="0" fontId="56" fillId="0" borderId="172" xfId="0" applyFont="1" applyBorder="1" applyAlignment="1" applyProtection="1">
      <alignment horizontal="left" vertical="center" wrapText="1"/>
    </xf>
    <xf numFmtId="0" fontId="61" fillId="30" borderId="25" xfId="0" applyFont="1" applyFill="1" applyBorder="1" applyAlignment="1" applyProtection="1">
      <alignment horizontal="center" vertical="center" wrapText="1"/>
    </xf>
    <xf numFmtId="0" fontId="61" fillId="30" borderId="30" xfId="0" applyFont="1" applyFill="1" applyBorder="1" applyAlignment="1" applyProtection="1">
      <alignment horizontal="center" vertical="center" wrapText="1"/>
    </xf>
    <xf numFmtId="0" fontId="61" fillId="30" borderId="31" xfId="0" applyFont="1" applyFill="1" applyBorder="1" applyAlignment="1" applyProtection="1">
      <alignment horizontal="center" vertical="center" wrapText="1"/>
    </xf>
    <xf numFmtId="49" fontId="49" fillId="0" borderId="0" xfId="0" applyNumberFormat="1" applyFont="1" applyAlignment="1" applyProtection="1">
      <alignment horizontal="left" vertical="center"/>
    </xf>
    <xf numFmtId="0" fontId="66" fillId="25" borderId="0" xfId="0" applyFont="1" applyFill="1" applyAlignment="1" applyProtection="1">
      <alignment horizontal="left" vertical="center" shrinkToFit="1"/>
    </xf>
    <xf numFmtId="0" fontId="44" fillId="0" borderId="103" xfId="0" applyFont="1" applyBorder="1" applyAlignment="1" applyProtection="1">
      <alignment horizontal="left" vertical="center"/>
    </xf>
    <xf numFmtId="0" fontId="44" fillId="0" borderId="23" xfId="0" applyFont="1" applyBorder="1" applyAlignment="1" applyProtection="1">
      <alignment horizontal="left" vertical="center"/>
    </xf>
    <xf numFmtId="0" fontId="50" fillId="33" borderId="18" xfId="0" applyFont="1" applyFill="1" applyBorder="1" applyAlignment="1" applyProtection="1">
      <alignment horizontal="center" vertical="center" shrinkToFit="1"/>
      <protection locked="0"/>
    </xf>
    <xf numFmtId="0" fontId="50" fillId="0" borderId="76" xfId="0" applyFont="1" applyBorder="1" applyAlignment="1" applyProtection="1">
      <alignment horizontal="center" vertical="center"/>
    </xf>
    <xf numFmtId="0" fontId="50" fillId="0" borderId="106" xfId="0" applyFont="1" applyBorder="1" applyAlignment="1" applyProtection="1">
      <alignment horizontal="center" vertical="center"/>
    </xf>
    <xf numFmtId="0" fontId="46" fillId="0" borderId="12" xfId="0" applyFont="1" applyBorder="1" applyAlignment="1" applyProtection="1">
      <alignment vertical="center" wrapText="1"/>
    </xf>
    <xf numFmtId="0" fontId="46" fillId="0" borderId="35" xfId="0" applyFont="1" applyBorder="1" applyAlignment="1" applyProtection="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pplyProtection="1">
      <alignment horizontal="left" vertical="center"/>
    </xf>
    <xf numFmtId="0" fontId="44" fillId="0" borderId="35" xfId="0" applyFont="1" applyBorder="1" applyAlignment="1" applyProtection="1">
      <alignment horizontal="left" vertical="center"/>
    </xf>
    <xf numFmtId="0" fontId="44" fillId="0" borderId="11" xfId="0" applyFont="1" applyBorder="1" applyAlignment="1" applyProtection="1">
      <alignment horizontal="left" vertical="center"/>
    </xf>
    <xf numFmtId="0" fontId="50" fillId="25" borderId="106" xfId="0" applyFont="1" applyFill="1" applyBorder="1" applyAlignment="1" applyProtection="1">
      <alignment horizontal="center" vertical="center"/>
    </xf>
    <xf numFmtId="0" fontId="50" fillId="0" borderId="14" xfId="0" applyFont="1" applyBorder="1" applyAlignment="1" applyProtection="1">
      <alignment horizontal="left" vertical="center"/>
    </xf>
    <xf numFmtId="0" fontId="50" fillId="0" borderId="20" xfId="0" applyFont="1" applyBorder="1" applyAlignment="1" applyProtection="1">
      <alignment horizontal="left" vertical="center"/>
    </xf>
    <xf numFmtId="0" fontId="50" fillId="0" borderId="37" xfId="0" applyFont="1" applyBorder="1" applyAlignment="1" applyProtection="1">
      <alignment horizontal="left" vertical="center"/>
    </xf>
    <xf numFmtId="0" fontId="44" fillId="0" borderId="12" xfId="0" applyFont="1" applyBorder="1" applyAlignment="1" applyProtection="1">
      <alignment horizontal="center" vertical="center"/>
    </xf>
    <xf numFmtId="0" fontId="44" fillId="0" borderId="35" xfId="0" applyFont="1" applyBorder="1" applyAlignment="1" applyProtection="1">
      <alignment horizontal="center" vertical="center"/>
    </xf>
    <xf numFmtId="0" fontId="50" fillId="0" borderId="64" xfId="0" applyFont="1" applyBorder="1" applyAlignment="1" applyProtection="1">
      <alignment horizontal="left" vertical="center"/>
    </xf>
    <xf numFmtId="0" fontId="81" fillId="0" borderId="41" xfId="0" applyFont="1" applyBorder="1" applyAlignment="1" applyProtection="1">
      <alignment horizontal="left" vertical="center" wrapText="1"/>
    </xf>
    <xf numFmtId="0" fontId="81" fillId="0" borderId="42" xfId="0" applyFont="1" applyBorder="1" applyAlignment="1" applyProtection="1">
      <alignment horizontal="left" vertical="center" wrapText="1"/>
    </xf>
    <xf numFmtId="0" fontId="81" fillId="0" borderId="163" xfId="0" applyFont="1" applyBorder="1" applyAlignment="1" applyProtection="1">
      <alignment horizontal="left" vertical="center" wrapText="1"/>
    </xf>
    <xf numFmtId="0" fontId="81" fillId="0" borderId="160" xfId="0" applyFont="1" applyBorder="1" applyAlignment="1" applyProtection="1">
      <alignment horizontal="left" vertical="center" wrapText="1"/>
    </xf>
    <xf numFmtId="0" fontId="81" fillId="0" borderId="162" xfId="0" applyFont="1" applyBorder="1" applyAlignment="1" applyProtection="1">
      <alignment horizontal="left" vertical="center" wrapText="1"/>
    </xf>
    <xf numFmtId="0" fontId="44" fillId="0" borderId="106" xfId="0" applyFont="1" applyBorder="1" applyAlignment="1" applyProtection="1">
      <alignment horizontal="left"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pplyProtection="1">
      <alignment horizontal="left" vertical="center"/>
    </xf>
    <xf numFmtId="0" fontId="50" fillId="25" borderId="15" xfId="0" applyFont="1" applyFill="1" applyBorder="1" applyAlignment="1" applyProtection="1">
      <alignment horizontal="left" vertical="center"/>
    </xf>
    <xf numFmtId="0" fontId="49" fillId="25" borderId="0" xfId="0" applyFont="1" applyFill="1" applyAlignment="1" applyProtection="1">
      <alignment horizontal="left" vertical="center" wrapText="1"/>
    </xf>
    <xf numFmtId="0" fontId="50" fillId="25" borderId="35" xfId="0" applyFont="1" applyFill="1" applyBorder="1" applyAlignment="1" applyProtection="1">
      <alignment horizontal="left" vertical="center"/>
    </xf>
    <xf numFmtId="0" fontId="50" fillId="25" borderId="11" xfId="0" applyFont="1" applyFill="1" applyBorder="1" applyAlignment="1" applyProtection="1">
      <alignment horizontal="left" vertical="center"/>
    </xf>
    <xf numFmtId="0" fontId="46" fillId="25" borderId="71" xfId="0" applyFont="1" applyFill="1" applyBorder="1" applyAlignment="1" applyProtection="1">
      <alignment horizontal="left" vertical="center" wrapText="1"/>
    </xf>
    <xf numFmtId="0" fontId="46" fillId="25" borderId="58" xfId="0" applyFont="1" applyFill="1" applyBorder="1" applyAlignment="1" applyProtection="1">
      <alignment vertical="center" wrapText="1"/>
    </xf>
    <xf numFmtId="0" fontId="50" fillId="25" borderId="12" xfId="0" applyFont="1" applyFill="1" applyBorder="1" applyAlignment="1" applyProtection="1">
      <alignment horizontal="left" vertical="center"/>
    </xf>
    <xf numFmtId="0" fontId="66" fillId="25" borderId="0" xfId="0" applyFont="1" applyFill="1" applyAlignment="1" applyProtection="1">
      <alignment horizontal="left" vertical="center" wrapText="1"/>
    </xf>
    <xf numFmtId="0" fontId="53" fillId="25" borderId="0" xfId="0" applyFont="1" applyFill="1" applyAlignment="1" applyProtection="1">
      <alignment horizontal="center" vertical="center" shrinkToFit="1"/>
    </xf>
    <xf numFmtId="0" fontId="57" fillId="0" borderId="40" xfId="0" applyFont="1" applyBorder="1" applyAlignment="1" applyProtection="1">
      <alignment horizontal="left" vertical="center" wrapText="1"/>
    </xf>
    <xf numFmtId="0" fontId="57" fillId="0" borderId="41" xfId="0" applyFont="1" applyBorder="1" applyAlignment="1" applyProtection="1">
      <alignment horizontal="left" vertical="center" wrapText="1"/>
    </xf>
    <xf numFmtId="0" fontId="57" fillId="0" borderId="42" xfId="0" applyFont="1" applyBorder="1" applyAlignment="1" applyProtection="1">
      <alignment horizontal="left" vertical="center" wrapText="1"/>
    </xf>
    <xf numFmtId="0" fontId="57" fillId="0" borderId="163" xfId="0" applyFont="1" applyBorder="1" applyAlignment="1" applyProtection="1">
      <alignment horizontal="left" vertical="center" wrapText="1"/>
    </xf>
    <xf numFmtId="0" fontId="57" fillId="0" borderId="160" xfId="0" applyFont="1" applyBorder="1" applyAlignment="1" applyProtection="1">
      <alignment horizontal="left" vertical="center" wrapText="1"/>
    </xf>
    <xf numFmtId="0" fontId="57" fillId="0" borderId="162" xfId="0" applyFont="1" applyBorder="1" applyAlignment="1" applyProtection="1">
      <alignment horizontal="left" vertical="center" wrapText="1"/>
    </xf>
    <xf numFmtId="2" fontId="62" fillId="25" borderId="0" xfId="0" applyNumberFormat="1" applyFont="1" applyFill="1" applyAlignment="1" applyProtection="1">
      <alignment horizontal="center" vertical="center" shrinkToFit="1"/>
    </xf>
    <xf numFmtId="0" fontId="56" fillId="0" borderId="18" xfId="0" applyFont="1" applyBorder="1" applyAlignment="1" applyProtection="1">
      <alignment horizontal="left" vertical="center" wrapText="1"/>
    </xf>
    <xf numFmtId="0" fontId="56" fillId="0" borderId="19" xfId="0" applyFont="1" applyBorder="1" applyAlignment="1" applyProtection="1">
      <alignment horizontal="left" vertical="center" wrapText="1"/>
    </xf>
    <xf numFmtId="0" fontId="56" fillId="0" borderId="12" xfId="0" applyFont="1" applyBorder="1" applyAlignment="1" applyProtection="1">
      <alignment horizontal="left" vertical="center"/>
    </xf>
    <xf numFmtId="0" fontId="56" fillId="0" borderId="35" xfId="0" applyFont="1" applyBorder="1" applyAlignment="1" applyProtection="1">
      <alignment horizontal="left" vertical="center"/>
    </xf>
    <xf numFmtId="0" fontId="56" fillId="0" borderId="11" xfId="0" applyFont="1" applyBorder="1" applyAlignment="1" applyProtection="1">
      <alignment horizontal="left" vertical="center"/>
    </xf>
    <xf numFmtId="0" fontId="56" fillId="0" borderId="12" xfId="0" applyFont="1" applyBorder="1" applyAlignment="1" applyProtection="1">
      <alignment horizontal="left" vertical="center" wrapText="1"/>
    </xf>
    <xf numFmtId="0" fontId="56" fillId="0" borderId="35" xfId="0" applyFont="1" applyBorder="1" applyAlignment="1" applyProtection="1">
      <alignment horizontal="left" vertical="center" wrapText="1"/>
    </xf>
    <xf numFmtId="0" fontId="56" fillId="0" borderId="11" xfId="0" applyFont="1" applyBorder="1" applyAlignment="1" applyProtection="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pplyProtection="1">
      <alignment vertical="center" shrinkToFit="1"/>
    </xf>
    <xf numFmtId="0" fontId="44" fillId="25" borderId="196" xfId="0" applyFont="1" applyFill="1" applyBorder="1" applyAlignment="1" applyProtection="1">
      <alignment vertical="center" shrinkToFit="1"/>
    </xf>
    <xf numFmtId="0" fontId="45" fillId="0" borderId="41" xfId="0" applyFont="1" applyBorder="1" applyAlignment="1" applyProtection="1">
      <alignment horizontal="left" vertical="center"/>
    </xf>
    <xf numFmtId="0" fontId="45" fillId="0" borderId="42" xfId="0" applyFont="1" applyBorder="1" applyAlignment="1" applyProtection="1">
      <alignment horizontal="left" vertical="center"/>
    </xf>
    <xf numFmtId="0" fontId="45" fillId="0" borderId="33" xfId="0" applyFont="1" applyBorder="1" applyAlignment="1" applyProtection="1">
      <alignment horizontal="left" vertical="center"/>
    </xf>
    <xf numFmtId="0" fontId="45" fillId="0" borderId="0" xfId="0" applyFont="1" applyAlignment="1" applyProtection="1">
      <alignment horizontal="left" vertical="center"/>
    </xf>
    <xf numFmtId="0" fontId="45" fillId="0" borderId="36" xfId="0" applyFont="1" applyBorder="1" applyAlignment="1" applyProtection="1">
      <alignment horizontal="left" vertical="center"/>
    </xf>
    <xf numFmtId="0" fontId="45" fillId="0" borderId="163" xfId="0" applyFont="1" applyBorder="1" applyAlignment="1" applyProtection="1">
      <alignment horizontal="left" vertical="center"/>
    </xf>
    <xf numFmtId="0" fontId="45" fillId="0" borderId="160" xfId="0" applyFont="1" applyBorder="1" applyAlignment="1" applyProtection="1">
      <alignment horizontal="left" vertical="center"/>
    </xf>
    <xf numFmtId="0" fontId="45" fillId="0" borderId="162" xfId="0" applyFont="1" applyBorder="1" applyAlignment="1" applyProtection="1">
      <alignment horizontal="left" vertical="center"/>
    </xf>
    <xf numFmtId="0" fontId="56" fillId="0" borderId="58" xfId="0" applyFont="1" applyBorder="1" applyAlignment="1" applyProtection="1">
      <alignment horizontal="left" vertical="center" wrapText="1"/>
    </xf>
    <xf numFmtId="0" fontId="56" fillId="0" borderId="59" xfId="0" applyFont="1" applyBorder="1" applyAlignment="1" applyProtection="1">
      <alignment horizontal="left" vertical="center" wrapText="1"/>
    </xf>
    <xf numFmtId="0" fontId="48" fillId="0" borderId="79" xfId="0" applyFont="1" applyBorder="1" applyAlignment="1" applyProtection="1">
      <alignment horizontal="center" vertical="center" shrinkToFit="1"/>
    </xf>
    <xf numFmtId="0" fontId="48" fillId="0" borderId="10" xfId="0" applyFont="1" applyBorder="1" applyAlignment="1" applyProtection="1">
      <alignment horizontal="center" vertical="center" shrinkToFit="1"/>
    </xf>
    <xf numFmtId="0" fontId="48" fillId="0" borderId="28" xfId="0" applyFont="1" applyBorder="1" applyAlignment="1" applyProtection="1">
      <alignment horizontal="center" vertical="center" shrinkToFit="1"/>
    </xf>
    <xf numFmtId="0" fontId="42" fillId="0" borderId="45" xfId="0" applyFont="1" applyBorder="1" applyAlignment="1" applyProtection="1">
      <alignment horizontal="center" vertical="center" wrapText="1"/>
    </xf>
    <xf numFmtId="0" fontId="42" fillId="0" borderId="77" xfId="0" applyFont="1" applyBorder="1" applyAlignment="1" applyProtection="1">
      <alignment horizontal="center" vertical="center" wrapText="1"/>
    </xf>
    <xf numFmtId="0" fontId="42" fillId="0" borderId="50" xfId="0" applyFont="1" applyBorder="1" applyAlignment="1" applyProtection="1">
      <alignment horizontal="center" vertical="center" wrapText="1"/>
    </xf>
    <xf numFmtId="0" fontId="37" fillId="25" borderId="35" xfId="0" applyFont="1" applyFill="1" applyBorder="1" applyAlignment="1" applyProtection="1">
      <alignment horizontal="left" vertical="center" wrapText="1"/>
    </xf>
    <xf numFmtId="0" fontId="37" fillId="25" borderId="64" xfId="0" applyFont="1" applyFill="1" applyBorder="1" applyAlignment="1" applyProtection="1">
      <alignment horizontal="left" vertical="center" wrapText="1"/>
    </xf>
    <xf numFmtId="0" fontId="71" fillId="0" borderId="110" xfId="0" applyFont="1" applyBorder="1" applyAlignment="1" applyProtection="1">
      <alignment horizontal="center" vertical="center" wrapText="1"/>
    </xf>
    <xf numFmtId="0" fontId="71" fillId="0" borderId="157" xfId="0" applyFont="1" applyBorder="1" applyAlignment="1" applyProtection="1">
      <alignment horizontal="center" vertical="center" wrapText="1"/>
    </xf>
    <xf numFmtId="0" fontId="110" fillId="0" borderId="191" xfId="0" applyFont="1" applyBorder="1" applyAlignment="1" applyProtection="1">
      <alignment horizontal="center" vertical="center" wrapText="1"/>
    </xf>
    <xf numFmtId="0" fontId="94" fillId="0" borderId="190" xfId="0" applyFont="1" applyBorder="1" applyAlignment="1" applyProtection="1">
      <alignment horizontal="center" vertical="center" wrapText="1"/>
    </xf>
    <xf numFmtId="0" fontId="42" fillId="0" borderId="79" xfId="0" applyFont="1" applyBorder="1" applyAlignment="1" applyProtection="1">
      <alignment horizontal="left" vertical="center" wrapText="1"/>
    </xf>
    <xf numFmtId="0" fontId="42" fillId="0" borderId="10" xfId="0" applyFont="1" applyBorder="1" applyAlignment="1" applyProtection="1">
      <alignment horizontal="left" vertical="center" wrapText="1"/>
    </xf>
    <xf numFmtId="0" fontId="42" fillId="0" borderId="28" xfId="0" applyFont="1" applyBorder="1" applyAlignment="1" applyProtection="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0" fontId="42" fillId="0" borderId="99" xfId="0" applyFont="1" applyBorder="1" applyAlignment="1" applyProtection="1">
      <alignment horizontal="center" vertical="center" wrapText="1"/>
    </xf>
    <xf numFmtId="0" fontId="42" fillId="0" borderId="100" xfId="0" applyFont="1" applyBorder="1" applyAlignment="1" applyProtection="1">
      <alignment horizontal="center" vertical="center" wrapText="1"/>
    </xf>
    <xf numFmtId="0" fontId="48" fillId="0" borderId="75" xfId="0" applyFont="1" applyBorder="1" applyAlignment="1" applyProtection="1">
      <alignment horizontal="center" vertical="center" shrinkToFit="1"/>
    </xf>
    <xf numFmtId="0" fontId="48" fillId="0" borderId="13" xfId="0" applyFont="1" applyBorder="1" applyAlignment="1" applyProtection="1">
      <alignment horizontal="center" vertical="center" shrinkToFit="1"/>
    </xf>
    <xf numFmtId="0" fontId="42" fillId="0" borderId="75" xfId="0" applyFont="1" applyBorder="1" applyAlignment="1" applyProtection="1">
      <alignment horizontal="left" vertical="center" wrapText="1"/>
    </xf>
    <xf numFmtId="0" fontId="42" fillId="0" borderId="13" xfId="0" applyFont="1" applyBorder="1" applyAlignment="1" applyProtection="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48" fillId="25" borderId="25" xfId="0" applyFont="1" applyFill="1" applyBorder="1" applyProtection="1">
      <alignment vertical="center"/>
    </xf>
    <xf numFmtId="0" fontId="48" fillId="25" borderId="30" xfId="0" applyFont="1" applyFill="1" applyBorder="1" applyProtection="1">
      <alignment vertical="center"/>
    </xf>
    <xf numFmtId="0" fontId="48" fillId="25" borderId="31" xfId="0" applyFont="1" applyFill="1" applyBorder="1" applyProtection="1">
      <alignment vertical="center"/>
    </xf>
    <xf numFmtId="0" fontId="48" fillId="25" borderId="10" xfId="0" applyFont="1" applyFill="1" applyBorder="1" applyAlignment="1" applyProtection="1">
      <alignment horizontal="center" vertical="center"/>
    </xf>
    <xf numFmtId="0" fontId="48" fillId="25" borderId="12" xfId="0" applyFont="1" applyFill="1" applyBorder="1" applyAlignment="1" applyProtection="1">
      <alignment horizontal="center" vertical="center"/>
    </xf>
    <xf numFmtId="0" fontId="33" fillId="25" borderId="143" xfId="0" applyFont="1" applyFill="1" applyBorder="1" applyAlignment="1" applyProtection="1">
      <alignment horizontal="center" vertical="center" textRotation="255" wrapText="1"/>
    </xf>
    <xf numFmtId="0" fontId="33" fillId="25" borderId="137" xfId="0" applyFont="1" applyFill="1" applyBorder="1" applyAlignment="1" applyProtection="1">
      <alignment horizontal="center" vertical="center" textRotation="255" wrapText="1"/>
    </xf>
    <xf numFmtId="0" fontId="48" fillId="0" borderId="41" xfId="0" applyFont="1" applyBorder="1" applyAlignment="1" applyProtection="1">
      <alignment horizontal="center" vertical="center" shrinkToFit="1"/>
    </xf>
    <xf numFmtId="0" fontId="48" fillId="0" borderId="145" xfId="0" applyFont="1" applyBorder="1" applyAlignment="1" applyProtection="1">
      <alignment horizontal="center" vertical="center" shrinkToFit="1"/>
    </xf>
    <xf numFmtId="0" fontId="48" fillId="0" borderId="0" xfId="0" applyFont="1" applyAlignment="1" applyProtection="1">
      <alignment horizontal="center" vertical="center" shrinkToFit="1"/>
    </xf>
    <xf numFmtId="0" fontId="48" fillId="0" borderId="16" xfId="0" applyFont="1" applyBorder="1" applyAlignment="1" applyProtection="1">
      <alignment horizontal="center" vertical="center" shrinkToFit="1"/>
    </xf>
    <xf numFmtId="0" fontId="48" fillId="0" borderId="86" xfId="0" applyFont="1" applyBorder="1" applyAlignment="1" applyProtection="1">
      <alignment horizontal="center" vertical="center" shrinkToFit="1"/>
    </xf>
    <xf numFmtId="0" fontId="48" fillId="0" borderId="141" xfId="0" applyFont="1" applyBorder="1" applyAlignment="1" applyProtection="1">
      <alignment horizontal="center" vertical="center" shrinkToFit="1"/>
    </xf>
    <xf numFmtId="0" fontId="42" fillId="0" borderId="119" xfId="0" applyFont="1" applyBorder="1" applyAlignment="1" applyProtection="1">
      <alignment horizontal="left" vertical="center" wrapText="1"/>
    </xf>
    <xf numFmtId="0" fontId="42" fillId="0" borderId="82" xfId="0" applyFont="1" applyBorder="1" applyAlignment="1" applyProtection="1">
      <alignment horizontal="left" vertical="center" wrapText="1"/>
    </xf>
    <xf numFmtId="0" fontId="42" fillId="0" borderId="147" xfId="0" applyFont="1" applyBorder="1" applyAlignment="1" applyProtection="1">
      <alignment horizontal="left" vertical="center" wrapText="1"/>
    </xf>
    <xf numFmtId="0" fontId="37" fillId="0" borderId="119" xfId="0" applyFont="1" applyBorder="1" applyAlignment="1" applyProtection="1">
      <alignment horizontal="left" vertical="center" wrapText="1"/>
    </xf>
    <xf numFmtId="0" fontId="37" fillId="0" borderId="82" xfId="0" applyFont="1" applyBorder="1" applyAlignment="1" applyProtection="1">
      <alignment horizontal="left" vertical="center" wrapText="1"/>
    </xf>
    <xf numFmtId="0" fontId="37" fillId="0" borderId="147" xfId="0" applyFont="1" applyBorder="1" applyAlignment="1" applyProtection="1">
      <alignment horizontal="left" vertical="center" wrapText="1"/>
    </xf>
    <xf numFmtId="0" fontId="48" fillId="0" borderId="144" xfId="0" applyFont="1" applyBorder="1" applyAlignment="1" applyProtection="1">
      <alignment horizontal="center" vertical="center" shrinkToFit="1"/>
    </xf>
    <xf numFmtId="0" fontId="48" fillId="0" borderId="32" xfId="0" applyFont="1" applyBorder="1" applyAlignment="1" applyProtection="1">
      <alignment horizontal="center" vertical="center" shrinkToFit="1"/>
    </xf>
    <xf numFmtId="0" fontId="48" fillId="0" borderId="142" xfId="0" applyFont="1" applyBorder="1" applyAlignment="1" applyProtection="1">
      <alignment horizontal="center" vertical="center" shrinkToFit="1"/>
    </xf>
    <xf numFmtId="0" fontId="37" fillId="25" borderId="12" xfId="0" applyFont="1" applyFill="1" applyBorder="1" applyAlignment="1" applyProtection="1">
      <alignment horizontal="left" vertical="center"/>
    </xf>
    <xf numFmtId="0" fontId="37" fillId="25" borderId="35" xfId="0" applyFont="1" applyFill="1" applyBorder="1" applyAlignment="1" applyProtection="1">
      <alignment horizontal="left" vertical="center"/>
    </xf>
    <xf numFmtId="0" fontId="37" fillId="25" borderId="64" xfId="0" applyFont="1" applyFill="1" applyBorder="1" applyAlignment="1" applyProtection="1">
      <alignment horizontal="left" vertical="center"/>
    </xf>
    <xf numFmtId="0" fontId="37" fillId="25" borderId="14" xfId="0" applyFont="1" applyFill="1" applyBorder="1" applyAlignment="1" applyProtection="1">
      <alignment horizontal="left" vertical="center"/>
    </xf>
    <xf numFmtId="0" fontId="37" fillId="25" borderId="10" xfId="0" applyFont="1" applyFill="1" applyBorder="1" applyAlignment="1" applyProtection="1">
      <alignment horizontal="left" vertical="center" wrapText="1"/>
    </xf>
    <xf numFmtId="0" fontId="42" fillId="0" borderId="143" xfId="0" applyFont="1" applyBorder="1" applyAlignment="1" applyProtection="1">
      <alignment horizontal="center" vertical="center" wrapText="1"/>
    </xf>
    <xf numFmtId="0" fontId="42" fillId="0" borderId="51" xfId="0" applyFont="1" applyBorder="1" applyAlignment="1" applyProtection="1">
      <alignment horizontal="center" vertical="center" wrapText="1"/>
    </xf>
    <xf numFmtId="0" fontId="42" fillId="0" borderId="137" xfId="0" applyFont="1" applyBorder="1" applyAlignment="1" applyProtection="1">
      <alignment horizontal="center" vertical="center" wrapText="1"/>
    </xf>
    <xf numFmtId="0" fontId="48" fillId="25" borderId="144" xfId="0" applyFont="1" applyFill="1" applyBorder="1" applyAlignment="1" applyProtection="1">
      <alignment horizontal="center" vertical="center" wrapText="1" shrinkToFit="1"/>
    </xf>
    <xf numFmtId="0" fontId="48" fillId="25" borderId="41" xfId="0" applyFont="1" applyFill="1" applyBorder="1" applyAlignment="1" applyProtection="1">
      <alignment horizontal="center" vertical="center" wrapText="1" shrinkToFit="1"/>
    </xf>
    <xf numFmtId="0" fontId="48" fillId="25" borderId="145" xfId="0" applyFont="1" applyFill="1" applyBorder="1" applyAlignment="1" applyProtection="1">
      <alignment horizontal="center" vertical="center" wrapText="1" shrinkToFit="1"/>
    </xf>
    <xf numFmtId="0" fontId="48" fillId="25" borderId="142" xfId="0" applyFont="1" applyFill="1" applyBorder="1" applyAlignment="1" applyProtection="1">
      <alignment horizontal="center" vertical="center" wrapText="1" shrinkToFit="1"/>
    </xf>
    <xf numFmtId="0" fontId="48" fillId="25" borderId="86" xfId="0" applyFont="1" applyFill="1" applyBorder="1" applyAlignment="1" applyProtection="1">
      <alignment horizontal="center" vertical="center" wrapText="1" shrinkToFit="1"/>
    </xf>
    <xf numFmtId="0" fontId="48" fillId="25" borderId="141"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shrinkToFit="1"/>
    </xf>
    <xf numFmtId="0" fontId="0" fillId="25" borderId="0" xfId="0" applyFill="1" applyAlignment="1" applyProtection="1">
      <alignment horizontal="left" vertical="top" wrapText="1"/>
    </xf>
    <xf numFmtId="0" fontId="0" fillId="25" borderId="160" xfId="0" applyFill="1" applyBorder="1" applyAlignment="1" applyProtection="1">
      <alignment horizontal="left" vertical="top" wrapText="1"/>
    </xf>
    <xf numFmtId="2" fontId="42" fillId="0" borderId="21" xfId="0" applyNumberFormat="1" applyFont="1" applyBorder="1" applyAlignment="1" applyProtection="1">
      <alignment horizontal="right" vertical="center" wrapText="1"/>
    </xf>
    <xf numFmtId="2" fontId="42" fillId="0" borderId="22" xfId="0" applyNumberFormat="1" applyFont="1" applyBorder="1" applyAlignment="1" applyProtection="1">
      <alignment horizontal="right" vertical="center" wrapText="1"/>
    </xf>
    <xf numFmtId="2" fontId="42" fillId="0" borderId="26" xfId="0" applyNumberFormat="1" applyFont="1" applyBorder="1" applyAlignment="1" applyProtection="1">
      <alignment horizontal="right" vertical="center" wrapText="1"/>
    </xf>
    <xf numFmtId="0" fontId="29" fillId="0" borderId="28" xfId="0" applyFont="1" applyBorder="1" applyAlignment="1" applyProtection="1">
      <alignment horizontal="center" vertical="center" shrinkToFit="1"/>
    </xf>
    <xf numFmtId="38" fontId="42" fillId="0" borderId="75" xfId="34" applyFont="1" applyBorder="1" applyAlignment="1" applyProtection="1">
      <alignment horizontal="right" vertical="center" wrapText="1"/>
    </xf>
    <xf numFmtId="2" fontId="42" fillId="0" borderId="92" xfId="0" applyNumberFormat="1" applyFont="1" applyBorder="1" applyAlignment="1" applyProtection="1">
      <alignment horizontal="right" vertical="center" wrapText="1"/>
    </xf>
    <xf numFmtId="38" fontId="42" fillId="0" borderId="13" xfId="34" applyFont="1" applyBorder="1" applyAlignment="1" applyProtection="1">
      <alignment horizontal="right" vertical="center" wrapText="1"/>
    </xf>
    <xf numFmtId="2" fontId="42" fillId="0" borderId="78" xfId="0" applyNumberFormat="1" applyFont="1" applyBorder="1" applyAlignment="1" applyProtection="1">
      <alignment horizontal="right" vertical="center" wrapText="1"/>
    </xf>
    <xf numFmtId="0" fontId="48" fillId="25" borderId="143" xfId="0" applyFont="1" applyFill="1" applyBorder="1" applyAlignment="1" applyProtection="1">
      <alignment horizontal="center" vertical="center" wrapText="1"/>
    </xf>
    <xf numFmtId="0" fontId="48" fillId="25" borderId="137" xfId="0" applyFont="1" applyFill="1" applyBorder="1" applyAlignment="1" applyProtection="1">
      <alignment horizontal="center" vertical="center" wrapText="1"/>
    </xf>
    <xf numFmtId="0" fontId="48" fillId="25" borderId="144" xfId="0" applyFont="1" applyFill="1" applyBorder="1" applyAlignment="1" applyProtection="1">
      <alignment horizontal="center" vertical="center" shrinkToFit="1"/>
    </xf>
    <xf numFmtId="0" fontId="48" fillId="25" borderId="142" xfId="0" applyFont="1" applyFill="1" applyBorder="1" applyAlignment="1" applyProtection="1">
      <alignment horizontal="center" vertical="center" shrinkToFit="1"/>
    </xf>
    <xf numFmtId="0" fontId="42" fillId="25" borderId="119" xfId="0" applyFont="1" applyFill="1" applyBorder="1" applyAlignment="1" applyProtection="1">
      <alignment horizontal="center" vertical="center" wrapText="1"/>
    </xf>
    <xf numFmtId="0" fontId="42" fillId="25" borderId="147" xfId="0" applyFont="1" applyFill="1" applyBorder="1" applyAlignment="1" applyProtection="1">
      <alignment horizontal="center" vertical="center" wrapText="1"/>
    </xf>
    <xf numFmtId="0" fontId="42" fillId="25" borderId="144" xfId="0" applyFont="1" applyFill="1" applyBorder="1" applyAlignment="1" applyProtection="1">
      <alignment horizontal="center" vertical="center" wrapText="1"/>
    </xf>
    <xf numFmtId="0" fontId="42" fillId="25" borderId="142"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xf>
    <xf numFmtId="0" fontId="48" fillId="25" borderId="119" xfId="0" applyFont="1" applyFill="1" applyBorder="1" applyAlignment="1" applyProtection="1">
      <alignment horizontal="center" vertical="center" shrinkToFit="1"/>
    </xf>
    <xf numFmtId="0" fontId="48" fillId="25" borderId="147" xfId="0" applyFont="1" applyFill="1" applyBorder="1" applyAlignment="1" applyProtection="1">
      <alignment horizontal="center" vertical="center" shrinkToFit="1"/>
    </xf>
    <xf numFmtId="0" fontId="37" fillId="0" borderId="12" xfId="0" applyFont="1" applyBorder="1" applyAlignment="1" applyProtection="1">
      <alignment horizontal="left" vertical="center" wrapText="1"/>
    </xf>
    <xf numFmtId="0" fontId="37" fillId="0" borderId="35" xfId="0" applyFont="1" applyBorder="1" applyAlignment="1" applyProtection="1">
      <alignment horizontal="left" vertical="center" wrapText="1"/>
    </xf>
    <xf numFmtId="0" fontId="37"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1" fillId="0" borderId="79" xfId="0" applyFont="1" applyBorder="1" applyAlignment="1" applyProtection="1">
      <alignment horizontal="center" vertical="center" wrapText="1"/>
    </xf>
    <xf numFmtId="0" fontId="71" fillId="0" borderId="79" xfId="0" applyFont="1" applyBorder="1" applyAlignment="1" applyProtection="1">
      <alignment horizontal="center" vertical="center"/>
    </xf>
    <xf numFmtId="0" fontId="71" fillId="0" borderId="103" xfId="0" applyFont="1" applyBorder="1" applyAlignment="1" applyProtection="1">
      <alignment horizontal="center" vertical="center"/>
    </xf>
    <xf numFmtId="181" fontId="71" fillId="0" borderId="146" xfId="0" applyNumberFormat="1" applyFont="1" applyBorder="1" applyAlignment="1" applyProtection="1">
      <alignment horizontal="center" vertical="center" wrapText="1"/>
    </xf>
    <xf numFmtId="181" fontId="71" fillId="0" borderId="148" xfId="0" applyNumberFormat="1" applyFont="1" applyBorder="1" applyAlignment="1" applyProtection="1">
      <alignment horizontal="center" vertical="center"/>
    </xf>
    <xf numFmtId="0" fontId="94" fillId="0" borderId="186" xfId="0" applyFont="1" applyBorder="1" applyAlignment="1" applyProtection="1">
      <alignment horizontal="center" vertical="center"/>
    </xf>
    <xf numFmtId="0" fontId="48" fillId="25" borderId="45"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wrapText="1"/>
    </xf>
    <xf numFmtId="0" fontId="48" fillId="25" borderId="55" xfId="0" applyFont="1" applyFill="1" applyBorder="1" applyAlignment="1" applyProtection="1">
      <alignment horizontal="center" vertical="center" wrapText="1"/>
    </xf>
    <xf numFmtId="0" fontId="48" fillId="25" borderId="46" xfId="0" applyFont="1" applyFill="1" applyBorder="1" applyAlignment="1" applyProtection="1">
      <alignment horizontal="center" vertical="center" wrapText="1"/>
    </xf>
    <xf numFmtId="0" fontId="48" fillId="25" borderId="47" xfId="0" applyFont="1" applyFill="1" applyBorder="1" applyAlignment="1" applyProtection="1">
      <alignment horizontal="center" vertical="center" wrapText="1"/>
    </xf>
    <xf numFmtId="0" fontId="48" fillId="25" borderId="23" xfId="0" applyFont="1" applyFill="1" applyBorder="1" applyAlignment="1" applyProtection="1">
      <alignment horizontal="center" vertical="center" wrapText="1"/>
    </xf>
    <xf numFmtId="0" fontId="48" fillId="25" borderId="106" xfId="0" applyFont="1" applyFill="1" applyBorder="1" applyAlignment="1" applyProtection="1">
      <alignment horizontal="center" vertical="center" wrapText="1"/>
    </xf>
    <xf numFmtId="0" fontId="82" fillId="29" borderId="25" xfId="0" applyFont="1" applyFill="1" applyBorder="1" applyAlignment="1" applyProtection="1">
      <alignment horizontal="center" vertical="center"/>
    </xf>
    <xf numFmtId="0" fontId="82" fillId="29" borderId="31" xfId="0" applyFont="1" applyFill="1" applyBorder="1" applyAlignment="1" applyProtection="1">
      <alignment horizontal="center" vertical="center"/>
    </xf>
    <xf numFmtId="0" fontId="0" fillId="0" borderId="112" xfId="0" applyFont="1" applyFill="1" applyBorder="1" applyAlignment="1" applyProtection="1">
      <alignment horizontal="left" vertical="center" wrapText="1"/>
    </xf>
    <xf numFmtId="0" fontId="110" fillId="0" borderId="190" xfId="0" applyFont="1" applyBorder="1" applyAlignment="1" applyProtection="1">
      <alignment horizontal="center" vertical="center" wrapText="1"/>
    </xf>
    <xf numFmtId="0" fontId="37" fillId="25" borderId="14" xfId="0" applyFont="1" applyFill="1" applyBorder="1" applyAlignment="1" applyProtection="1">
      <alignment horizontal="left" vertical="center" wrapText="1"/>
    </xf>
    <xf numFmtId="0" fontId="37" fillId="25" borderId="12" xfId="0" applyFont="1" applyFill="1" applyBorder="1" applyAlignment="1" applyProtection="1">
      <alignment horizontal="left" vertical="center" wrapText="1"/>
    </xf>
    <xf numFmtId="0" fontId="37" fillId="25" borderId="17" xfId="0" applyFont="1" applyFill="1" applyBorder="1" applyAlignment="1" applyProtection="1">
      <alignment horizontal="left" vertical="center" wrapText="1"/>
    </xf>
    <xf numFmtId="0" fontId="37" fillId="25" borderId="18" xfId="0" applyFont="1" applyFill="1" applyBorder="1" applyAlignment="1" applyProtection="1">
      <alignment horizontal="left" vertical="center" wrapText="1"/>
    </xf>
    <xf numFmtId="0" fontId="37" fillId="25" borderId="80" xfId="0" applyFont="1" applyFill="1" applyBorder="1" applyAlignment="1" applyProtection="1">
      <alignment horizontal="left" vertical="center" wrapText="1"/>
    </xf>
    <xf numFmtId="0" fontId="95" fillId="0" borderId="199" xfId="0" applyFont="1" applyBorder="1" applyAlignment="1" applyProtection="1">
      <alignment horizontal="left" vertical="center" wrapText="1"/>
    </xf>
    <xf numFmtId="0" fontId="48" fillId="25" borderId="40" xfId="0" applyFont="1" applyFill="1" applyBorder="1" applyAlignment="1" applyProtection="1">
      <alignment horizontal="center" vertical="center" wrapText="1"/>
    </xf>
    <xf numFmtId="0" fontId="48" fillId="25" borderId="145" xfId="0" applyFont="1" applyFill="1" applyBorder="1" applyAlignment="1" applyProtection="1">
      <alignment horizontal="center" vertical="center" wrapText="1"/>
    </xf>
    <xf numFmtId="0" fontId="48" fillId="25" borderId="163" xfId="0" applyFont="1" applyFill="1" applyBorder="1" applyAlignment="1" applyProtection="1">
      <alignment horizontal="center" vertical="center" wrapText="1"/>
    </xf>
    <xf numFmtId="0" fontId="48" fillId="25" borderId="159" xfId="0" applyFont="1" applyFill="1" applyBorder="1" applyAlignment="1" applyProtection="1">
      <alignment horizontal="center" vertical="center" wrapText="1"/>
    </xf>
    <xf numFmtId="0" fontId="71" fillId="0" borderId="109" xfId="0" applyFont="1" applyBorder="1" applyAlignment="1" applyProtection="1">
      <alignment horizontal="center" vertical="center" wrapText="1"/>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0" fontId="42" fillId="25" borderId="144" xfId="0" applyFont="1" applyFill="1" applyBorder="1" applyAlignment="1" applyProtection="1">
      <alignment horizontal="center" vertical="center"/>
    </xf>
    <xf numFmtId="0" fontId="42" fillId="25" borderId="17" xfId="0" applyFont="1" applyFill="1" applyBorder="1" applyAlignment="1" applyProtection="1">
      <alignment horizontal="center" vertical="center"/>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pplyProtection="1">
      <alignment horizontal="center" vertical="center"/>
    </xf>
    <xf numFmtId="0" fontId="42" fillId="25" borderId="18" xfId="0" applyFont="1" applyFill="1" applyBorder="1" applyAlignment="1" applyProtection="1">
      <alignment horizontal="center" vertical="center"/>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0" fontId="42" fillId="25" borderId="145" xfId="0" applyFont="1" applyFill="1" applyBorder="1" applyAlignment="1" applyProtection="1">
      <alignment horizontal="center" vertical="center"/>
    </xf>
    <xf numFmtId="0" fontId="42" fillId="25" borderId="19" xfId="0" applyFont="1" applyFill="1" applyBorder="1" applyAlignment="1" applyProtection="1">
      <alignment horizontal="center" vertical="center"/>
    </xf>
    <xf numFmtId="177" fontId="48" fillId="25" borderId="144" xfId="0" applyNumberFormat="1" applyFont="1" applyFill="1" applyBorder="1" applyAlignment="1" applyProtection="1">
      <alignment horizontal="right" vertical="center"/>
    </xf>
    <xf numFmtId="177" fontId="48" fillId="25" borderId="17" xfId="0" applyNumberFormat="1" applyFont="1" applyFill="1" applyBorder="1" applyAlignment="1" applyProtection="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42" fillId="0" borderId="32" xfId="0" applyFont="1" applyBorder="1" applyAlignment="1" applyProtection="1">
      <alignment horizontal="left" vertical="center" wrapText="1"/>
    </xf>
    <xf numFmtId="0" fontId="42" fillId="0" borderId="158" xfId="0" applyFont="1" applyBorder="1" applyAlignment="1" applyProtection="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0" fontId="48" fillId="0" borderId="158" xfId="0" applyFont="1" applyBorder="1" applyAlignment="1" applyProtection="1">
      <alignment horizontal="center" vertical="center" shrinkToFit="1"/>
    </xf>
    <xf numFmtId="0" fontId="48" fillId="0" borderId="160" xfId="0" applyFont="1" applyBorder="1" applyAlignment="1" applyProtection="1">
      <alignment horizontal="center" vertical="center" shrinkToFit="1"/>
    </xf>
    <xf numFmtId="0" fontId="48" fillId="0" borderId="159" xfId="0" applyFont="1" applyBorder="1" applyAlignment="1" applyProtection="1">
      <alignment horizontal="center" vertical="center" shrinkToFit="1"/>
    </xf>
    <xf numFmtId="0" fontId="42" fillId="0" borderId="144" xfId="0" applyFont="1" applyBorder="1" applyAlignment="1" applyProtection="1">
      <alignment horizontal="left" vertical="center" wrapText="1"/>
    </xf>
    <xf numFmtId="0" fontId="104" fillId="0" borderId="144"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5"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0" fontId="104" fillId="25" borderId="20" xfId="0" applyFont="1" applyFill="1" applyBorder="1" applyAlignment="1" applyProtection="1">
      <alignment horizontal="center" vertical="center"/>
    </xf>
    <xf numFmtId="0" fontId="104" fillId="25" borderId="160"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9" xfId="0" applyFont="1" applyFill="1" applyBorder="1" applyAlignment="1" applyProtection="1">
      <alignment horizontal="center" vertical="center"/>
    </xf>
    <xf numFmtId="0" fontId="104" fillId="25" borderId="14" xfId="0" applyFont="1" applyFill="1" applyBorder="1" applyAlignment="1" applyProtection="1">
      <alignment horizontal="center" vertical="center" shrinkToFit="1"/>
    </xf>
    <xf numFmtId="0" fontId="104" fillId="25" borderId="158" xfId="0" applyFont="1" applyFill="1" applyBorder="1" applyAlignment="1" applyProtection="1">
      <alignment horizontal="center" vertical="center" shrinkToFit="1"/>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178" fontId="48" fillId="0" borderId="78"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178" fontId="48" fillId="0" borderId="81" xfId="28" applyNumberFormat="1" applyFont="1" applyFill="1" applyBorder="1" applyAlignment="1" applyProtection="1">
      <alignment horizontal="center" vertical="center"/>
    </xf>
    <xf numFmtId="0" fontId="29" fillId="0" borderId="160" xfId="0" applyFont="1" applyBorder="1" applyAlignment="1" applyProtection="1">
      <alignment horizontal="center" vertical="center" shrinkToFit="1"/>
    </xf>
    <xf numFmtId="0" fontId="48" fillId="0" borderId="0" xfId="0" applyFont="1" applyBorder="1" applyAlignment="1" applyProtection="1">
      <alignment horizontal="center" vertical="center" shrinkToFit="1"/>
    </xf>
    <xf numFmtId="40" fontId="42" fillId="0" borderId="144" xfId="34" applyNumberFormat="1" applyFont="1" applyFill="1" applyBorder="1" applyAlignment="1" applyProtection="1">
      <alignment horizontal="right" vertical="center" shrinkToFit="1"/>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0" fontId="42" fillId="25" borderId="20" xfId="0" applyFont="1" applyFill="1" applyBorder="1" applyAlignment="1" applyProtection="1">
      <alignment horizontal="center" vertical="center"/>
    </xf>
    <xf numFmtId="0" fontId="42" fillId="25" borderId="160" xfId="0" applyFont="1" applyFill="1" applyBorder="1" applyAlignment="1" applyProtection="1">
      <alignment horizontal="center" vertical="center"/>
    </xf>
    <xf numFmtId="0" fontId="42" fillId="25" borderId="15" xfId="0" applyFont="1" applyFill="1" applyBorder="1" applyAlignment="1" applyProtection="1">
      <alignment horizontal="center" vertical="center"/>
    </xf>
    <xf numFmtId="0" fontId="42" fillId="25" borderId="159" xfId="0" applyFont="1" applyFill="1" applyBorder="1" applyAlignment="1" applyProtection="1">
      <alignment horizontal="center" vertical="center"/>
    </xf>
    <xf numFmtId="177" fontId="48" fillId="25" borderId="14" xfId="0" applyNumberFormat="1" applyFont="1" applyFill="1" applyBorder="1" applyAlignment="1" applyProtection="1">
      <alignment horizontal="right" vertical="center"/>
    </xf>
    <xf numFmtId="177" fontId="48" fillId="25" borderId="158" xfId="0" applyNumberFormat="1" applyFont="1" applyFill="1" applyBorder="1" applyAlignment="1" applyProtection="1">
      <alignment horizontal="right" vertical="center"/>
    </xf>
    <xf numFmtId="0" fontId="48" fillId="0" borderId="143" xfId="0" applyFont="1" applyBorder="1" applyAlignment="1" applyProtection="1">
      <alignment horizontal="center" vertical="center" wrapText="1"/>
    </xf>
    <xf numFmtId="0" fontId="48"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0" fontId="71" fillId="0" borderId="144" xfId="0" applyFont="1" applyBorder="1" applyAlignment="1" applyProtection="1">
      <alignment horizontal="center" vertical="center" wrapText="1"/>
    </xf>
    <xf numFmtId="0" fontId="71" fillId="0" borderId="41" xfId="0" applyFont="1" applyBorder="1" applyAlignment="1" applyProtection="1">
      <alignment horizontal="center" vertical="center" wrapText="1"/>
    </xf>
    <xf numFmtId="0" fontId="71" fillId="0" borderId="145" xfId="0" applyFont="1" applyBorder="1" applyAlignment="1" applyProtection="1">
      <alignment horizontal="center" vertical="center" wrapText="1"/>
    </xf>
    <xf numFmtId="0" fontId="71" fillId="0" borderId="158" xfId="0" applyFont="1" applyBorder="1" applyAlignment="1" applyProtection="1">
      <alignment horizontal="center" vertical="center" wrapText="1"/>
    </xf>
    <xf numFmtId="0" fontId="71" fillId="0" borderId="160" xfId="0" applyFont="1" applyBorder="1" applyAlignment="1" applyProtection="1">
      <alignment horizontal="center" vertical="center" wrapText="1"/>
    </xf>
    <xf numFmtId="0" fontId="71" fillId="0" borderId="159" xfId="0" applyFont="1" applyBorder="1" applyAlignment="1" applyProtection="1">
      <alignment horizontal="center" vertical="center" wrapText="1"/>
    </xf>
    <xf numFmtId="0" fontId="104" fillId="0" borderId="15" xfId="0" applyFont="1" applyBorder="1" applyAlignment="1" applyProtection="1">
      <alignment horizontal="center" vertical="center"/>
    </xf>
    <xf numFmtId="0" fontId="104" fillId="0" borderId="159" xfId="0" applyFont="1" applyBorder="1" applyAlignment="1" applyProtection="1">
      <alignment horizontal="center" vertical="center"/>
    </xf>
    <xf numFmtId="0" fontId="48" fillId="25" borderId="50" xfId="0" applyFont="1" applyFill="1" applyBorder="1" applyAlignment="1" applyProtection="1">
      <alignment horizontal="center" vertical="center" wrapText="1"/>
    </xf>
    <xf numFmtId="0" fontId="48" fillId="25" borderId="28" xfId="0" applyFont="1" applyFill="1" applyBorder="1" applyAlignment="1" applyProtection="1">
      <alignment horizontal="center" vertical="center"/>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pplyProtection="1">
      <alignment horizontal="center" vertical="center" wrapText="1"/>
    </xf>
    <xf numFmtId="0" fontId="48" fillId="25" borderId="26" xfId="0" applyFont="1" applyFill="1" applyBorder="1" applyAlignment="1" applyProtection="1">
      <alignment horizontal="center" vertical="center"/>
    </xf>
    <xf numFmtId="177" fontId="42" fillId="0" borderId="183" xfId="0" applyNumberFormat="1" applyFont="1" applyBorder="1" applyAlignment="1" applyProtection="1">
      <alignment horizontal="center" vertical="center"/>
    </xf>
    <xf numFmtId="177" fontId="42" fillId="0" borderId="184" xfId="0" applyNumberFormat="1" applyFont="1" applyBorder="1" applyAlignment="1" applyProtection="1">
      <alignment horizontal="center" vertical="center"/>
    </xf>
    <xf numFmtId="177" fontId="42" fillId="0" borderId="13" xfId="0" applyNumberFormat="1" applyFont="1" applyBorder="1" applyAlignment="1" applyProtection="1">
      <alignment horizontal="center" vertical="center" shrinkToFit="1"/>
    </xf>
    <xf numFmtId="177" fontId="42" fillId="0" borderId="147" xfId="0" applyNumberFormat="1" applyFont="1" applyBorder="1" applyAlignment="1" applyProtection="1">
      <alignment horizontal="center" vertical="center" shrinkToFit="1"/>
    </xf>
    <xf numFmtId="0" fontId="71" fillId="25" borderId="146" xfId="0" applyFont="1" applyFill="1" applyBorder="1" applyAlignment="1" applyProtection="1">
      <alignment horizontal="center" vertical="center" wrapText="1"/>
    </xf>
    <xf numFmtId="0" fontId="71" fillId="25" borderId="148" xfId="0" applyFont="1" applyFill="1" applyBorder="1" applyAlignment="1" applyProtection="1">
      <alignment horizontal="center" vertical="center" wrapText="1"/>
    </xf>
    <xf numFmtId="0" fontId="42" fillId="25" borderId="76" xfId="0" applyFont="1" applyFill="1" applyBorder="1" applyAlignment="1" applyProtection="1">
      <alignment horizontal="center" vertical="center" wrapText="1"/>
    </xf>
    <xf numFmtId="0" fontId="42" fillId="25" borderId="106" xfId="0" applyFont="1" applyFill="1" applyBorder="1" applyAlignment="1" applyProtection="1">
      <alignment horizontal="center" vertical="center" wrapText="1"/>
    </xf>
    <xf numFmtId="0" fontId="48" fillId="25" borderId="144" xfId="0" applyFont="1" applyFill="1" applyBorder="1" applyAlignment="1" applyProtection="1">
      <alignment horizontal="center" vertical="center" wrapText="1"/>
    </xf>
    <xf numFmtId="0" fontId="48" fillId="25" borderId="41" xfId="0" applyFont="1" applyFill="1" applyBorder="1" applyAlignment="1" applyProtection="1">
      <alignment horizontal="center" vertical="center"/>
    </xf>
    <xf numFmtId="0" fontId="48" fillId="25" borderId="145" xfId="0" applyFont="1" applyFill="1" applyBorder="1" applyAlignment="1" applyProtection="1">
      <alignment horizontal="center" vertical="center"/>
    </xf>
    <xf numFmtId="0" fontId="48" fillId="25" borderId="142" xfId="0" applyFont="1" applyFill="1" applyBorder="1" applyAlignment="1" applyProtection="1">
      <alignment horizontal="center" vertical="center"/>
    </xf>
    <xf numFmtId="0" fontId="48" fillId="25" borderId="86" xfId="0" applyFont="1" applyFill="1" applyBorder="1" applyAlignment="1" applyProtection="1">
      <alignment horizontal="center" vertical="center"/>
    </xf>
    <xf numFmtId="0" fontId="48" fillId="25" borderId="141" xfId="0" applyFont="1" applyFill="1" applyBorder="1" applyAlignment="1" applyProtection="1">
      <alignment horizontal="center" vertical="center"/>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8" fillId="0" borderId="99" xfId="0" applyFont="1" applyBorder="1" applyAlignment="1" applyProtection="1">
      <alignment horizontal="center" vertical="center" wrapText="1"/>
    </xf>
    <xf numFmtId="0" fontId="48"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pplyProtection="1">
      <alignment horizontal="center" vertical="center"/>
    </xf>
    <xf numFmtId="0" fontId="42" fillId="25" borderId="158" xfId="0" applyFont="1" applyFill="1" applyBorder="1" applyAlignment="1" applyProtection="1">
      <alignment horizontal="center" vertical="center"/>
    </xf>
    <xf numFmtId="177" fontId="71" fillId="25" borderId="146" xfId="0" applyNumberFormat="1" applyFont="1" applyFill="1" applyBorder="1" applyAlignment="1" applyProtection="1">
      <alignment horizontal="right" vertical="center"/>
    </xf>
    <xf numFmtId="177" fontId="71" fillId="25" borderId="92" xfId="0" applyNumberFormat="1" applyFont="1" applyFill="1" applyBorder="1" applyAlignment="1" applyProtection="1">
      <alignment horizontal="right" vertical="center"/>
    </xf>
    <xf numFmtId="177" fontId="71" fillId="25" borderId="78" xfId="0" applyNumberFormat="1" applyFont="1" applyFill="1" applyBorder="1" applyAlignment="1" applyProtection="1">
      <alignment horizontal="right" vertical="center"/>
    </xf>
    <xf numFmtId="177" fontId="71" fillId="25" borderId="148" xfId="0" applyNumberFormat="1" applyFont="1" applyFill="1" applyBorder="1" applyAlignment="1" applyProtection="1">
      <alignment horizontal="right" vertical="center"/>
    </xf>
    <xf numFmtId="0" fontId="104" fillId="0" borderId="14" xfId="0" applyFont="1" applyBorder="1" applyAlignment="1" applyProtection="1">
      <alignment horizontal="center" vertical="center" shrinkToFit="1"/>
    </xf>
    <xf numFmtId="0" fontId="104" fillId="0" borderId="158" xfId="0" applyFont="1" applyBorder="1" applyAlignment="1" applyProtection="1">
      <alignment horizontal="center" vertical="center" shrinkToFit="1"/>
    </xf>
    <xf numFmtId="0" fontId="42" fillId="25" borderId="158" xfId="0" applyFont="1" applyFill="1" applyBorder="1" applyAlignment="1" applyProtection="1">
      <alignment horizontal="center" vertical="center" wrapText="1"/>
    </xf>
    <xf numFmtId="0" fontId="42" fillId="25" borderId="143" xfId="0" applyFont="1" applyFill="1" applyBorder="1" applyAlignment="1" applyProtection="1">
      <alignment horizontal="center" vertical="center" textRotation="255" wrapText="1"/>
    </xf>
    <xf numFmtId="0" fontId="42" fillId="25" borderId="137" xfId="0" applyFont="1" applyFill="1" applyBorder="1" applyAlignment="1" applyProtection="1">
      <alignment horizontal="center" vertical="center" textRotation="255" wrapText="1"/>
    </xf>
    <xf numFmtId="0" fontId="48" fillId="25" borderId="158" xfId="0" applyFont="1" applyFill="1" applyBorder="1" applyAlignment="1" applyProtection="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177" fontId="48" fillId="0" borderId="144" xfId="0" applyNumberFormat="1" applyFont="1" applyBorder="1" applyAlignment="1" applyProtection="1">
      <alignment horizontal="right" vertical="center"/>
    </xf>
    <xf numFmtId="177" fontId="48" fillId="0" borderId="17" xfId="0" applyNumberFormat="1" applyFont="1" applyBorder="1" applyAlignment="1" applyProtection="1">
      <alignment horizontal="right" vertical="center"/>
    </xf>
    <xf numFmtId="177" fontId="71" fillId="0" borderId="146" xfId="0" applyNumberFormat="1" applyFont="1" applyBorder="1" applyAlignment="1" applyProtection="1">
      <alignment horizontal="right" vertical="center"/>
    </xf>
    <xf numFmtId="177" fontId="71" fillId="0" borderId="92" xfId="0" applyNumberFormat="1" applyFont="1" applyBorder="1" applyAlignment="1" applyProtection="1">
      <alignment horizontal="right" vertical="center"/>
    </xf>
    <xf numFmtId="177" fontId="48" fillId="25" borderId="40" xfId="0" applyNumberFormat="1" applyFont="1" applyFill="1" applyBorder="1" applyAlignment="1" applyProtection="1">
      <alignment horizontal="right" vertical="center"/>
    </xf>
    <xf numFmtId="177" fontId="48" fillId="25" borderId="101" xfId="0" applyNumberFormat="1" applyFont="1" applyFill="1" applyBorder="1" applyAlignment="1" applyProtection="1">
      <alignment horizontal="right" vertical="center"/>
    </xf>
    <xf numFmtId="177" fontId="48" fillId="25" borderId="119" xfId="0" applyNumberFormat="1" applyFont="1" applyFill="1" applyBorder="1" applyAlignment="1" applyProtection="1">
      <alignment horizontal="right" vertical="center"/>
    </xf>
    <xf numFmtId="177" fontId="48" fillId="25" borderId="75" xfId="0" applyNumberFormat="1" applyFont="1" applyFill="1" applyBorder="1" applyAlignment="1" applyProtection="1">
      <alignment horizontal="right" vertical="center"/>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0" fontId="94" fillId="0" borderId="186" xfId="0" applyFont="1" applyBorder="1" applyAlignment="1" applyProtection="1">
      <alignment horizontal="center" vertical="center" wrapText="1"/>
    </xf>
    <xf numFmtId="177" fontId="48" fillId="25" borderId="99" xfId="0" applyNumberFormat="1" applyFont="1" applyFill="1" applyBorder="1" applyAlignment="1" applyProtection="1">
      <alignment horizontal="right" vertical="center"/>
    </xf>
    <xf numFmtId="177" fontId="48" fillId="25" borderId="137" xfId="0" applyNumberFormat="1" applyFont="1" applyFill="1" applyBorder="1" applyAlignment="1" applyProtection="1">
      <alignment horizontal="right" vertical="center"/>
    </xf>
    <xf numFmtId="177" fontId="48" fillId="0" borderId="14" xfId="0" applyNumberFormat="1" applyFont="1" applyBorder="1" applyAlignment="1" applyProtection="1">
      <alignment horizontal="right" vertical="center"/>
    </xf>
    <xf numFmtId="177" fontId="48" fillId="0" borderId="158" xfId="0" applyNumberFormat="1" applyFont="1" applyBorder="1" applyAlignment="1" applyProtection="1">
      <alignment horizontal="right" vertical="center"/>
    </xf>
    <xf numFmtId="177" fontId="48" fillId="25" borderId="13" xfId="0" applyNumberFormat="1" applyFont="1" applyFill="1" applyBorder="1" applyAlignment="1" applyProtection="1">
      <alignment horizontal="right" vertical="center" shrinkToFit="1"/>
    </xf>
    <xf numFmtId="177" fontId="48" fillId="25" borderId="147" xfId="0"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0" fontId="104" fillId="25" borderId="20" xfId="0" applyFont="1" applyFill="1" applyBorder="1" applyAlignment="1" applyProtection="1">
      <alignment horizontal="center" vertical="center" shrinkToFit="1"/>
    </xf>
    <xf numFmtId="0" fontId="104" fillId="25" borderId="160" xfId="0" applyFont="1" applyFill="1" applyBorder="1" applyAlignment="1" applyProtection="1">
      <alignment horizontal="center" vertical="center" shrinkToFit="1"/>
    </xf>
    <xf numFmtId="0" fontId="94" fillId="0" borderId="189" xfId="0" applyFont="1" applyBorder="1" applyAlignment="1" applyProtection="1">
      <alignment horizontal="left" vertical="center" wrapText="1"/>
    </xf>
    <xf numFmtId="178" fontId="95" fillId="0" borderId="186" xfId="28" applyNumberFormat="1" applyFont="1" applyFill="1" applyBorder="1" applyAlignment="1" applyProtection="1">
      <alignment horizontal="right" vertical="center" shrinkToFit="1"/>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7" fontId="71" fillId="0" borderId="78" xfId="0" applyNumberFormat="1" applyFont="1" applyBorder="1" applyAlignment="1" applyProtection="1">
      <alignment horizontal="right" vertical="center"/>
    </xf>
    <xf numFmtId="177" fontId="71" fillId="0" borderId="148" xfId="0" applyNumberFormat="1" applyFont="1" applyBorder="1" applyAlignment="1" applyProtection="1">
      <alignment horizontal="right" vertical="center"/>
    </xf>
    <xf numFmtId="0" fontId="94" fillId="0" borderId="186" xfId="0" applyFont="1" applyBorder="1" applyAlignment="1" applyProtection="1">
      <alignment horizontal="right" vertical="center"/>
    </xf>
    <xf numFmtId="0" fontId="82" fillId="29" borderId="25" xfId="0" applyFont="1" applyFill="1" applyBorder="1" applyAlignment="1" applyProtection="1">
      <alignment horizontal="center" vertical="center" shrinkToFit="1"/>
    </xf>
    <xf numFmtId="0" fontId="82" fillId="29" borderId="31" xfId="0" applyFont="1" applyFill="1" applyBorder="1" applyAlignment="1" applyProtection="1">
      <alignment horizontal="center" vertical="center" shrinkToFit="1"/>
    </xf>
    <xf numFmtId="0" fontId="48" fillId="25" borderId="103" xfId="0" applyFont="1" applyFill="1" applyBorder="1" applyAlignment="1" applyProtection="1">
      <alignment horizontal="center" vertical="center" wrapText="1"/>
    </xf>
    <xf numFmtId="40" fontId="94" fillId="0" borderId="187" xfId="34" applyNumberFormat="1" applyFont="1" applyFill="1" applyBorder="1" applyAlignment="1" applyProtection="1">
      <alignment horizontal="center" vertical="center" shrinkToFit="1"/>
    </xf>
    <xf numFmtId="0" fontId="94" fillId="0" borderId="193" xfId="0" applyFont="1" applyBorder="1" applyAlignment="1" applyProtection="1">
      <alignment horizontal="center" vertical="center"/>
    </xf>
    <xf numFmtId="40" fontId="94" fillId="0" borderId="186" xfId="34" applyNumberFormat="1" applyFont="1" applyFill="1" applyBorder="1" applyAlignment="1" applyProtection="1">
      <alignment horizontal="center" vertical="center" shrinkToFit="1"/>
    </xf>
    <xf numFmtId="0" fontId="90" fillId="25" borderId="12" xfId="0" applyFont="1" applyFill="1" applyBorder="1" applyAlignment="1" applyProtection="1">
      <alignment horizontal="center" vertical="center"/>
    </xf>
    <xf numFmtId="0" fontId="90" fillId="25" borderId="11" xfId="0" applyFont="1" applyFill="1" applyBorder="1" applyAlignment="1" applyProtection="1">
      <alignment horizontal="center" vertical="center"/>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110" fillId="0" borderId="206" xfId="0" applyFont="1" applyBorder="1" applyAlignment="1" applyProtection="1">
      <alignment horizontal="center" vertical="center" wrapText="1"/>
    </xf>
    <xf numFmtId="0" fontId="94" fillId="0" borderId="207" xfId="0" applyFont="1" applyBorder="1" applyAlignment="1" applyProtection="1">
      <alignment horizontal="center" vertical="center" wrapText="1"/>
    </xf>
    <xf numFmtId="0" fontId="94" fillId="0" borderId="208" xfId="0" applyFont="1" applyBorder="1" applyAlignment="1" applyProtection="1">
      <alignment horizontal="center" vertical="center" wrapText="1"/>
    </xf>
    <xf numFmtId="0" fontId="94" fillId="0" borderId="209" xfId="0" applyFont="1" applyBorder="1" applyAlignment="1" applyProtection="1">
      <alignment horizontal="center" vertical="center" wrapText="1"/>
    </xf>
    <xf numFmtId="0" fontId="94" fillId="0" borderId="199" xfId="0" applyFont="1" applyBorder="1" applyAlignment="1" applyProtection="1">
      <alignment horizontal="center" vertical="center" wrapText="1"/>
    </xf>
    <xf numFmtId="0" fontId="94" fillId="0" borderId="210" xfId="0" applyFont="1" applyBorder="1" applyAlignment="1" applyProtection="1">
      <alignment horizontal="center" vertical="center" wrapText="1"/>
    </xf>
    <xf numFmtId="0" fontId="37" fillId="25" borderId="20" xfId="0" applyFont="1" applyFill="1" applyBorder="1" applyAlignment="1" applyProtection="1">
      <alignment horizontal="left" vertical="center"/>
    </xf>
    <xf numFmtId="0" fontId="37" fillId="25" borderId="37" xfId="0" applyFont="1" applyFill="1" applyBorder="1" applyAlignment="1" applyProtection="1">
      <alignment horizontal="left" vertical="center"/>
    </xf>
    <xf numFmtId="0" fontId="0" fillId="25" borderId="112" xfId="0" applyFont="1" applyFill="1" applyBorder="1" applyAlignment="1" applyProtection="1">
      <alignment horizontal="left" vertical="center" wrapText="1"/>
    </xf>
    <xf numFmtId="177" fontId="42" fillId="0" borderId="82" xfId="0" applyNumberFormat="1" applyFont="1" applyBorder="1" applyAlignment="1" applyProtection="1">
      <alignment horizontal="center" vertical="center"/>
      <protection locked="0"/>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177" fontId="48" fillId="0" borderId="143" xfId="0" applyNumberFormat="1" applyFont="1" applyBorder="1" applyAlignment="1" applyProtection="1">
      <alignment horizontal="right" vertical="center"/>
    </xf>
    <xf numFmtId="177" fontId="48" fillId="0" borderId="100" xfId="0" applyNumberFormat="1" applyFont="1" applyBorder="1" applyAlignment="1" applyProtection="1">
      <alignment horizontal="right" vertical="center"/>
    </xf>
    <xf numFmtId="177" fontId="48" fillId="0" borderId="183" xfId="0" applyNumberFormat="1" applyFont="1" applyBorder="1" applyAlignment="1" applyProtection="1">
      <alignment horizontal="center" vertical="center"/>
    </xf>
    <xf numFmtId="177" fontId="48" fillId="0" borderId="184" xfId="0" applyNumberFormat="1" applyFont="1" applyBorder="1" applyAlignment="1" applyProtection="1">
      <alignment horizontal="center" vertical="center"/>
    </xf>
    <xf numFmtId="177" fontId="71" fillId="0" borderId="144" xfId="0" applyNumberFormat="1" applyFont="1" applyBorder="1" applyAlignment="1" applyProtection="1">
      <alignment horizontal="right" vertical="center"/>
    </xf>
    <xf numFmtId="177" fontId="71" fillId="0" borderId="17" xfId="0" applyNumberFormat="1" applyFont="1" applyBorder="1" applyAlignment="1" applyProtection="1">
      <alignment horizontal="right" vertical="center"/>
    </xf>
    <xf numFmtId="0" fontId="48" fillId="25" borderId="13" xfId="0" applyFont="1" applyFill="1" applyBorder="1" applyAlignment="1" applyProtection="1">
      <alignment horizontal="center" vertical="center"/>
    </xf>
    <xf numFmtId="0" fontId="48" fillId="25" borderId="32" xfId="0" applyFont="1" applyFill="1" applyBorder="1" applyAlignment="1" applyProtection="1">
      <alignment horizontal="center" vertical="center"/>
    </xf>
    <xf numFmtId="0" fontId="48" fillId="25" borderId="16" xfId="0" applyFont="1" applyFill="1" applyBorder="1" applyAlignment="1" applyProtection="1">
      <alignment horizontal="center" vertical="center"/>
    </xf>
    <xf numFmtId="0" fontId="48" fillId="25" borderId="32" xfId="0" applyFont="1" applyFill="1" applyBorder="1" applyAlignment="1" applyProtection="1">
      <alignment horizontal="center"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48" fillId="0" borderId="40" xfId="0" applyNumberFormat="1" applyFont="1" applyBorder="1" applyAlignment="1" applyProtection="1">
      <alignment horizontal="right" vertical="center"/>
    </xf>
    <xf numFmtId="177" fontId="48" fillId="0" borderId="101" xfId="0" applyNumberFormat="1" applyFont="1" applyBorder="1" applyAlignment="1" applyProtection="1">
      <alignment horizontal="right" vertical="center"/>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0" fontId="71" fillId="25" borderId="144" xfId="0" applyFont="1" applyFill="1" applyBorder="1" applyAlignment="1" applyProtection="1">
      <alignment horizontal="center" vertical="center" wrapText="1"/>
    </xf>
    <xf numFmtId="0" fontId="71" fillId="25" borderId="158" xfId="0" applyFont="1" applyFill="1" applyBorder="1" applyAlignment="1" applyProtection="1">
      <alignment horizontal="center" vertical="center" wrapText="1"/>
    </xf>
    <xf numFmtId="0" fontId="48" fillId="25" borderId="76" xfId="0" applyFont="1" applyFill="1" applyBorder="1" applyAlignment="1" applyProtection="1">
      <alignment horizontal="center" vertical="center" wrapText="1"/>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pplyProtection="1">
      <alignment horizontal="right" vertical="center"/>
    </xf>
    <xf numFmtId="177" fontId="48" fillId="0" borderId="75" xfId="0" applyNumberFormat="1" applyFont="1" applyBorder="1" applyAlignment="1" applyProtection="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177" fontId="71" fillId="25" borderId="14" xfId="0" applyNumberFormat="1" applyFont="1" applyFill="1" applyBorder="1" applyAlignment="1" applyProtection="1">
      <alignment horizontal="right" vertical="center"/>
    </xf>
    <xf numFmtId="177" fontId="71" fillId="25" borderId="158" xfId="0" applyNumberFormat="1" applyFont="1" applyFill="1" applyBorder="1" applyAlignment="1" applyProtection="1">
      <alignment horizontal="right" vertical="center"/>
    </xf>
    <xf numFmtId="177" fontId="48" fillId="0" borderId="185" xfId="0" applyNumberFormat="1" applyFont="1" applyBorder="1" applyAlignment="1" applyProtection="1">
      <alignment horizontal="center" vertical="center"/>
    </xf>
    <xf numFmtId="177" fontId="48" fillId="0" borderId="154" xfId="0" applyNumberFormat="1" applyFont="1" applyBorder="1" applyAlignment="1" applyProtection="1">
      <alignment horizontal="center" vertical="center"/>
    </xf>
    <xf numFmtId="177" fontId="48" fillId="25" borderId="13" xfId="0" applyNumberFormat="1" applyFont="1" applyFill="1" applyBorder="1" applyAlignment="1" applyProtection="1">
      <alignment horizontal="right" vertical="center"/>
    </xf>
    <xf numFmtId="177" fontId="48" fillId="25" borderId="147" xfId="0" applyNumberFormat="1" applyFont="1" applyFill="1" applyBorder="1" applyAlignment="1" applyProtection="1">
      <alignment horizontal="right" vertical="center"/>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177" fontId="48" fillId="0" borderId="13" xfId="0" applyNumberFormat="1" applyFont="1" applyBorder="1" applyAlignment="1" applyProtection="1">
      <alignment horizontal="right" vertical="center"/>
    </xf>
    <xf numFmtId="177" fontId="48" fillId="0" borderId="147" xfId="0" applyNumberFormat="1" applyFont="1" applyBorder="1" applyAlignment="1" applyProtection="1">
      <alignment horizontal="right" vertical="center"/>
    </xf>
    <xf numFmtId="40" fontId="48" fillId="0" borderId="144" xfId="34" applyNumberFormat="1" applyFont="1" applyFill="1" applyBorder="1" applyAlignment="1" applyProtection="1">
      <alignment horizontal="right" vertical="center" shrinkToFit="1"/>
    </xf>
    <xf numFmtId="0" fontId="94" fillId="25" borderId="186" xfId="0" applyFont="1" applyFill="1" applyBorder="1" applyAlignment="1" applyProtection="1">
      <alignment horizontal="right" vertical="center"/>
    </xf>
    <xf numFmtId="0" fontId="94" fillId="0" borderId="186" xfId="0" applyFont="1" applyBorder="1" applyAlignment="1" applyProtection="1">
      <alignment horizontal="left" vertical="center" wrapText="1"/>
    </xf>
    <xf numFmtId="0" fontId="94" fillId="0" borderId="190" xfId="0" applyFont="1" applyBorder="1" applyAlignment="1" applyProtection="1">
      <alignment horizontal="left" vertical="center" wrapText="1"/>
    </xf>
    <xf numFmtId="0" fontId="95" fillId="0" borderId="193" xfId="0" applyFont="1" applyBorder="1" applyAlignment="1" applyProtection="1">
      <alignment horizontal="center" vertical="center"/>
    </xf>
    <xf numFmtId="0" fontId="95" fillId="0" borderId="202" xfId="0" applyFont="1" applyBorder="1" applyAlignment="1" applyProtection="1">
      <alignment horizontal="center" vertical="center"/>
    </xf>
    <xf numFmtId="0" fontId="95" fillId="0" borderId="198" xfId="0" applyFont="1" applyBorder="1" applyAlignment="1" applyProtection="1">
      <alignment horizontal="center" vertical="center"/>
    </xf>
    <xf numFmtId="0" fontId="95" fillId="0" borderId="197" xfId="0" applyFont="1" applyBorder="1" applyAlignment="1" applyProtection="1">
      <alignment horizontal="center" vertical="center"/>
    </xf>
    <xf numFmtId="0" fontId="95" fillId="0" borderId="187" xfId="0" applyFont="1" applyBorder="1" applyAlignment="1" applyProtection="1">
      <alignment horizontal="center" vertical="center" wrapText="1"/>
    </xf>
    <xf numFmtId="0" fontId="95" fillId="0" borderId="189" xfId="0" applyFont="1" applyBorder="1" applyAlignment="1" applyProtection="1">
      <alignment horizontal="center" vertical="center" wrapText="1"/>
    </xf>
    <xf numFmtId="0" fontId="95" fillId="0" borderId="200" xfId="0" applyFont="1" applyBorder="1" applyAlignment="1" applyProtection="1">
      <alignment horizontal="center" vertical="center"/>
    </xf>
    <xf numFmtId="0" fontId="95" fillId="0" borderId="201" xfId="0" applyFont="1" applyBorder="1" applyAlignment="1" applyProtection="1">
      <alignment horizontal="center" vertical="center"/>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cellXfs>
  <cellStyles count="106">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3 2 2" xfId="102" xr:uid="{CA63FDBA-4AEB-4E9A-89EF-C851640979FE}"/>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10" xfId="97" xr:uid="{1BCF5761-1A35-4AE9-AC38-094C542953D5}"/>
    <cellStyle name="標準 2" xfId="43" xr:uid="{00000000-0005-0000-0000-00002C000000}"/>
    <cellStyle name="標準 2 2" xfId="51" xr:uid="{A0853B3B-BCC8-4669-935F-844BC3DDFBA4}"/>
    <cellStyle name="標準 2 2 2" xfId="101" xr:uid="{69790AD3-9529-4860-816A-FF5F48C7CCB7}"/>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2 2 2" xfId="104" xr:uid="{4F022167-3738-432D-8C6A-55B6777EE59B}"/>
    <cellStyle name="標準 3 2 3" xfId="99" xr:uid="{D7692488-8C50-4FDA-AEFB-135BA681C67D}"/>
    <cellStyle name="標準 3 3" xfId="47" xr:uid="{00000000-0005-0000-0000-00002F000000}"/>
    <cellStyle name="標準 3 3 2" xfId="96" xr:uid="{BE0DD03E-4068-4C0E-9DCB-6D942BE4C709}"/>
    <cellStyle name="標準 3 3 2 2" xfId="105" xr:uid="{FB2B8EA7-3E6C-4985-BA6D-803D07FC563A}"/>
    <cellStyle name="標準 3 3 3" xfId="100" xr:uid="{1684418C-034F-47AB-A3F2-FDE03DE20E14}"/>
    <cellStyle name="標準 3 4" xfId="94" xr:uid="{C9F854C4-7861-4B74-A330-DC5426C63A2D}"/>
    <cellStyle name="標準 3 4 2" xfId="103" xr:uid="{D28642AC-DE39-4D45-9D35-44F2EC35FD95}"/>
    <cellStyle name="標準 3 5" xfId="98" xr:uid="{D578E2C4-6D80-4CE0-B6B0-5E54D130B23A}"/>
    <cellStyle name="良い" xfId="44" builtinId="26" customBuiltin="1"/>
    <cellStyle name="良い 2" xfId="93" xr:uid="{9CA78D28-FBEC-4696-A5A9-2E7962BDE85F}"/>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fmlaLink="$AM$187" lockText="1" noThreeD="1"/>
</file>

<file path=xl/ctrlProps/ctrlProp27.xml><?xml version="1.0" encoding="utf-8"?>
<formControlPr xmlns="http://schemas.microsoft.com/office/spreadsheetml/2009/9/main" objectType="CheckBox" fmlaLink="$AM$188" lockText="1" noThreeD="1"/>
</file>

<file path=xl/ctrlProps/ctrlProp28.xml><?xml version="1.0" encoding="utf-8"?>
<formControlPr xmlns="http://schemas.microsoft.com/office/spreadsheetml/2009/9/main" objectType="CheckBox" fmlaLink="$AM$189" lockText="1" noThreeD="1"/>
</file>

<file path=xl/ctrlProps/ctrlProp29.xml><?xml version="1.0" encoding="utf-8"?>
<formControlPr xmlns="http://schemas.microsoft.com/office/spreadsheetml/2009/9/main" objectType="CheckBox"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1" lockText="1" noThreeD="1"/>
</file>

<file path=xl/ctrlProps/ctrlProp31.xml><?xml version="1.0" encoding="utf-8"?>
<formControlPr xmlns="http://schemas.microsoft.com/office/spreadsheetml/2009/9/main" objectType="CheckBox" fmlaLink="$AM$192" lockText="1" noThreeD="1"/>
</file>

<file path=xl/ctrlProps/ctrlProp32.xml><?xml version="1.0" encoding="utf-8"?>
<formControlPr xmlns="http://schemas.microsoft.com/office/spreadsheetml/2009/9/main" objectType="CheckBox"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fmlaLink="$AM$164" lockText="1" noThreeD="1"/>
</file>

<file path=xl/ctrlProps/ctrlProp48.xml><?xml version="1.0" encoding="utf-8"?>
<formControlPr xmlns="http://schemas.microsoft.com/office/spreadsheetml/2009/9/main" objectType="CheckBox"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fmlaLink="$AM$168" lockText="1" noThreeD="1"/>
</file>

<file path=xl/ctrlProps/ctrlProp52.xml><?xml version="1.0" encoding="utf-8"?>
<formControlPr xmlns="http://schemas.microsoft.com/office/spreadsheetml/2009/9/main" objectType="CheckBox"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6493033" y="487854"/>
          <a:ext cx="6167439" cy="1349601"/>
          <a:chOff x="16240278" y="361733"/>
          <a:chExt cx="6606248" cy="1164497"/>
        </a:xfrm>
      </xdr:grpSpPr>
      <xdr:sp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5424" y="38321316"/>
              <a:ext cx="182655" cy="18355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5424" y="41204029"/>
              <a:ext cx="18265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5424" y="33852971"/>
              <a:ext cx="182655" cy="2241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5424" y="39960176"/>
              <a:ext cx="182655" cy="26894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5424" y="13850471"/>
              <a:ext cx="182655" cy="16593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5424" y="40224802"/>
              <a:ext cx="182655" cy="97922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5424" y="33740912"/>
              <a:ext cx="182655"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5424" y="23241000"/>
              <a:ext cx="182655" cy="2971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5424" y="26176941"/>
              <a:ext cx="182655" cy="30837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3718" y="29314588"/>
              <a:ext cx="182656" cy="271397"/>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88975" y="181309"/>
          <a:ext cx="4552789" cy="1168331"/>
          <a:chOff x="7796192" y="349906"/>
          <a:chExt cx="4238927" cy="994568"/>
        </a:xfrm>
      </xdr:grpSpPr>
      <xdr:sp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5424" y="41204029"/>
              <a:ext cx="18265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textlink="">
          <xdr:nvSpPr>
            <xdr:cNvPr id="76353" name="Check Box 577" hidden="1">
              <a:extLst>
                <a:ext uri="{63B3BB69-23CF-44E3-9099-C40C66FF867C}">
                  <a14:compatExt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textlink="">
          <xdr:nvSpPr>
            <xdr:cNvPr id="76354" name="Check Box 578" hidden="1">
              <a:extLst>
                <a:ext uri="{63B3BB69-23CF-44E3-9099-C40C66FF867C}">
                  <a14:compatExt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textlink="">
          <xdr:nvSpPr>
            <xdr:cNvPr id="76355" name="Check Box 579" hidden="1">
              <a:extLst>
                <a:ext uri="{63B3BB69-23CF-44E3-9099-C40C66FF867C}">
                  <a14:compatExt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textlink="">
          <xdr:nvSpPr>
            <xdr:cNvPr id="76356" name="Check Box 580" hidden="1">
              <a:extLst>
                <a:ext uri="{63B3BB69-23CF-44E3-9099-C40C66FF867C}">
                  <a14:compatExt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textlink="">
          <xdr:nvSpPr>
            <xdr:cNvPr id="76357" name="Check Box 581" hidden="1">
              <a:extLst>
                <a:ext uri="{63B3BB69-23CF-44E3-9099-C40C66FF867C}">
                  <a14:compatExt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textlink="">
          <xdr:nvSpPr>
            <xdr:cNvPr id="76358" name="Check Box 582" hidden="1">
              <a:extLst>
                <a:ext uri="{63B3BB69-23CF-44E3-9099-C40C66FF867C}">
                  <a14:compatExt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textlink="">
          <xdr:nvSpPr>
            <xdr:cNvPr id="76359" name="Check Box 583" hidden="1">
              <a:extLst>
                <a:ext uri="{63B3BB69-23CF-44E3-9099-C40C66FF867C}">
                  <a14:compatExt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textlink="">
          <xdr:nvSpPr>
            <xdr:cNvPr id="76360" name="Check Box 584" hidden="1">
              <a:extLst>
                <a:ext uri="{63B3BB69-23CF-44E3-9099-C40C66FF867C}">
                  <a14:compatExt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textlink="">
          <xdr:nvSpPr>
            <xdr:cNvPr id="76361" name="Check Box 585" hidden="1">
              <a:extLst>
                <a:ext uri="{63B3BB69-23CF-44E3-9099-C40C66FF867C}">
                  <a14:compatExt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textlink="">
          <xdr:nvSpPr>
            <xdr:cNvPr id="76362" name="Check Box 586" hidden="1">
              <a:extLst>
                <a:ext uri="{63B3BB69-23CF-44E3-9099-C40C66FF867C}">
                  <a14:compatExt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textlink="">
          <xdr:nvSpPr>
            <xdr:cNvPr id="76363" name="Check Box 587" hidden="1">
              <a:extLst>
                <a:ext uri="{63B3BB69-23CF-44E3-9099-C40C66FF867C}">
                  <a14:compatExt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textlink="">
          <xdr:nvSpPr>
            <xdr:cNvPr id="76364" name="Check Box 588" hidden="1">
              <a:extLst>
                <a:ext uri="{63B3BB69-23CF-44E3-9099-C40C66FF867C}">
                  <a14:compatExt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textlink="">
          <xdr:nvSpPr>
            <xdr:cNvPr id="76365" name="Check Box 589" hidden="1">
              <a:extLst>
                <a:ext uri="{63B3BB69-23CF-44E3-9099-C40C66FF867C}">
                  <a14:compatExt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textlink="">
          <xdr:nvSpPr>
            <xdr:cNvPr id="76367" name="Check Box 591" hidden="1">
              <a:extLst>
                <a:ext uri="{63B3BB69-23CF-44E3-9099-C40C66FF867C}">
                  <a14:compatExt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textlink="">
          <xdr:nvSpPr>
            <xdr:cNvPr id="76368" name="Check Box 592" hidden="1">
              <a:extLst>
                <a:ext uri="{63B3BB69-23CF-44E3-9099-C40C66FF867C}">
                  <a14:compatExt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textlink="">
          <xdr:nvSpPr>
            <xdr:cNvPr id="76369" name="Check Box 593" hidden="1">
              <a:extLst>
                <a:ext uri="{63B3BB69-23CF-44E3-9099-C40C66FF867C}">
                  <a14:compatExt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textlink="">
          <xdr:nvSpPr>
            <xdr:cNvPr id="76370" name="Check Box 594" hidden="1">
              <a:extLst>
                <a:ext uri="{63B3BB69-23CF-44E3-9099-C40C66FF867C}">
                  <a14:compatExt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textlink="">
          <xdr:nvSpPr>
            <xdr:cNvPr id="76372" name="Check Box 596" hidden="1">
              <a:extLst>
                <a:ext uri="{63B3BB69-23CF-44E3-9099-C40C66FF867C}">
                  <a14:compatExt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textlink="">
          <xdr:nvSpPr>
            <xdr:cNvPr id="76373" name="Check Box 597" hidden="1">
              <a:extLst>
                <a:ext uri="{63B3BB69-23CF-44E3-9099-C40C66FF867C}">
                  <a14:compatExt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textlink="">
          <xdr:nvSpPr>
            <xdr:cNvPr id="76374" name="Check Box 598" hidden="1">
              <a:extLst>
                <a:ext uri="{63B3BB69-23CF-44E3-9099-C40C66FF867C}">
                  <a14:compatExt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textlink="">
          <xdr:nvSpPr>
            <xdr:cNvPr id="76375" name="Check Box 599" hidden="1">
              <a:extLst>
                <a:ext uri="{63B3BB69-23CF-44E3-9099-C40C66FF867C}">
                  <a14:compatExt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textlink="">
          <xdr:nvSpPr>
            <xdr:cNvPr id="76376" name="Check Box 600" hidden="1">
              <a:extLst>
                <a:ext uri="{63B3BB69-23CF-44E3-9099-C40C66FF867C}">
                  <a14:compatExt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textlink="">
          <xdr:nvSpPr>
            <xdr:cNvPr id="76377" name="Check Box 601" hidden="1">
              <a:extLst>
                <a:ext uri="{63B3BB69-23CF-44E3-9099-C40C66FF867C}">
                  <a14:compatExt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textlink="">
          <xdr:nvSpPr>
            <xdr:cNvPr id="76378" name="Check Box 602" hidden="1">
              <a:extLst>
                <a:ext uri="{63B3BB69-23CF-44E3-9099-C40C66FF867C}">
                  <a14:compatExt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textlink="">
          <xdr:nvSpPr>
            <xdr:cNvPr id="76379" name="Check Box 603" hidden="1">
              <a:extLst>
                <a:ext uri="{63B3BB69-23CF-44E3-9099-C40C66FF867C}">
                  <a14:compatExt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94993" y="164576"/>
          <a:ext cx="6949950" cy="3556337"/>
          <a:chOff x="7721063" y="113367"/>
          <a:chExt cx="7665428" cy="4182529"/>
        </a:xfrm>
      </xdr:grpSpPr>
      <xdr:sp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395006"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twoCellAnchor>
    <xdr:from>
      <xdr:col>48</xdr:col>
      <xdr:colOff>255993</xdr:colOff>
      <xdr:row>13</xdr:row>
      <xdr:rowOff>18899</xdr:rowOff>
    </xdr:from>
    <xdr:to>
      <xdr:col>49</xdr:col>
      <xdr:colOff>38095</xdr:colOff>
      <xdr:row>14</xdr:row>
      <xdr:rowOff>162664</xdr:rowOff>
    </xdr:to>
    <xdr:sp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1999758" y="2820370"/>
          <a:ext cx="196719" cy="244618"/>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344318" y="463555"/>
          <a:ext cx="4177429" cy="1112835"/>
          <a:chOff x="26898601" y="315132"/>
          <a:chExt cx="4611713" cy="1373029"/>
        </a:xfrm>
      </xdr:grpSpPr>
      <xdr:sp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66114" y="475418"/>
          <a:ext cx="8557650" cy="1229413"/>
          <a:chOff x="12708085" y="674245"/>
          <a:chExt cx="8227356" cy="1399651"/>
        </a:xfrm>
      </xdr:grpSpPr>
      <xdr:sp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873409" y="510611"/>
          <a:ext cx="4934588" cy="1024915"/>
          <a:chOff x="29108905" y="199544"/>
          <a:chExt cx="4429780" cy="1150672"/>
        </a:xfrm>
      </xdr:grpSpPr>
      <xdr:sp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596136" y="577252"/>
          <a:ext cx="9463963" cy="1702486"/>
          <a:chOff x="12080190" y="316036"/>
          <a:chExt cx="9172393" cy="1681213"/>
        </a:xfrm>
      </xdr:grpSpPr>
      <xdr:sp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9213076" y="530935"/>
          <a:ext cx="4613092" cy="899755"/>
          <a:chOff x="7796192" y="349906"/>
          <a:chExt cx="4761447" cy="875675"/>
        </a:xfrm>
      </xdr:grpSpPr>
      <xdr:sp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399002" y="430323"/>
          <a:ext cx="11649138" cy="19948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Relationship Id="rId3" Type="http://schemas.openxmlformats.org/officeDocument/2006/relationships/vmlDrawing" Target="../drawings/vmlDrawing1.vml" /><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Relationship Id="rId26" Type="http://schemas.openxmlformats.org/officeDocument/2006/relationships/ctrlProp" Target="../ctrlProps/ctrlProp23.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47" Type="http://schemas.openxmlformats.org/officeDocument/2006/relationships/ctrlProp" Target="../ctrlProps/ctrlProp44.xml" /><Relationship Id="rId50" Type="http://schemas.openxmlformats.org/officeDocument/2006/relationships/ctrlProp" Target="../ctrlProps/ctrlProp47.xml" /><Relationship Id="rId55" Type="http://schemas.openxmlformats.org/officeDocument/2006/relationships/ctrlProp" Target="../ctrlProps/ctrlProp52.xml" /><Relationship Id="rId63" Type="http://schemas.openxmlformats.org/officeDocument/2006/relationships/ctrlProp" Target="../ctrlProps/ctrlProp60.xml" /><Relationship Id="rId7" Type="http://schemas.openxmlformats.org/officeDocument/2006/relationships/ctrlProp" Target="../ctrlProps/ctrlProp4.xml" /><Relationship Id="rId2" Type="http://schemas.openxmlformats.org/officeDocument/2006/relationships/drawing" Target="../drawings/drawing2.xml" /><Relationship Id="rId16" Type="http://schemas.openxmlformats.org/officeDocument/2006/relationships/ctrlProp" Target="../ctrlProps/ctrlProp13.xml" /><Relationship Id="rId29" Type="http://schemas.openxmlformats.org/officeDocument/2006/relationships/ctrlProp" Target="../ctrlProps/ctrlProp26.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3" Type="http://schemas.openxmlformats.org/officeDocument/2006/relationships/ctrlProp" Target="../ctrlProps/ctrlProp50.xml" /><Relationship Id="rId58" Type="http://schemas.openxmlformats.org/officeDocument/2006/relationships/ctrlProp" Target="../ctrlProps/ctrlProp55.xml" /><Relationship Id="rId5" Type="http://schemas.openxmlformats.org/officeDocument/2006/relationships/ctrlProp" Target="../ctrlProps/ctrlProp2.xml" /><Relationship Id="rId61" Type="http://schemas.openxmlformats.org/officeDocument/2006/relationships/ctrlProp" Target="../ctrlProps/ctrlProp58.xml" /><Relationship Id="rId19" Type="http://schemas.openxmlformats.org/officeDocument/2006/relationships/ctrlProp" Target="../ctrlProps/ctrlProp1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48" Type="http://schemas.openxmlformats.org/officeDocument/2006/relationships/ctrlProp" Target="../ctrlProps/ctrlProp45.xml" /><Relationship Id="rId56" Type="http://schemas.openxmlformats.org/officeDocument/2006/relationships/ctrlProp" Target="../ctrlProps/ctrlProp53.xml" /><Relationship Id="rId64" Type="http://schemas.openxmlformats.org/officeDocument/2006/relationships/ctrlProp" Target="../ctrlProps/ctrlProp61.xml" /><Relationship Id="rId8" Type="http://schemas.openxmlformats.org/officeDocument/2006/relationships/ctrlProp" Target="../ctrlProps/ctrlProp5.xml" /><Relationship Id="rId51" Type="http://schemas.openxmlformats.org/officeDocument/2006/relationships/ctrlProp" Target="../ctrlProps/ctrlProp48.xml" /><Relationship Id="rId3" Type="http://schemas.openxmlformats.org/officeDocument/2006/relationships/vmlDrawing" Target="../drawings/vmlDrawing2.v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59" Type="http://schemas.openxmlformats.org/officeDocument/2006/relationships/ctrlProp" Target="../ctrlProps/ctrlProp56.xml" /><Relationship Id="rId20" Type="http://schemas.openxmlformats.org/officeDocument/2006/relationships/ctrlProp" Target="../ctrlProps/ctrlProp17.xml" /><Relationship Id="rId41" Type="http://schemas.openxmlformats.org/officeDocument/2006/relationships/ctrlProp" Target="../ctrlProps/ctrlProp38.xml" /><Relationship Id="rId54" Type="http://schemas.openxmlformats.org/officeDocument/2006/relationships/ctrlProp" Target="../ctrlProps/ctrlProp51.xml" /><Relationship Id="rId62" Type="http://schemas.openxmlformats.org/officeDocument/2006/relationships/ctrlProp" Target="../ctrlProps/ctrlProp59.xml" /><Relationship Id="rId6" Type="http://schemas.openxmlformats.org/officeDocument/2006/relationships/ctrlProp" Target="../ctrlProps/ctrlProp3.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49" Type="http://schemas.openxmlformats.org/officeDocument/2006/relationships/ctrlProp" Target="../ctrlProps/ctrlProp46.xml" /><Relationship Id="rId57" Type="http://schemas.openxmlformats.org/officeDocument/2006/relationships/ctrlProp" Target="../ctrlProps/ctrlProp54.xml" /><Relationship Id="rId10" Type="http://schemas.openxmlformats.org/officeDocument/2006/relationships/ctrlProp" Target="../ctrlProps/ctrlProp7.xml" /><Relationship Id="rId31" Type="http://schemas.openxmlformats.org/officeDocument/2006/relationships/ctrlProp" Target="../ctrlProps/ctrlProp28.xml" /><Relationship Id="rId44" Type="http://schemas.openxmlformats.org/officeDocument/2006/relationships/ctrlProp" Target="../ctrlProps/ctrlProp41.xml" /><Relationship Id="rId52" Type="http://schemas.openxmlformats.org/officeDocument/2006/relationships/ctrlProp" Target="../ctrlProps/ctrlProp49.xml" /><Relationship Id="rId60" Type="http://schemas.openxmlformats.org/officeDocument/2006/relationships/ctrlProp" Target="../ctrlProps/ctrlProp57.xml" /><Relationship Id="rId4" Type="http://schemas.openxmlformats.org/officeDocument/2006/relationships/ctrlProp" Target="../ctrlProps/ctrlProp1.xml" /><Relationship Id="rId9" Type="http://schemas.openxmlformats.org/officeDocument/2006/relationships/ctrlProp" Target="../ctrlProps/ctrlProp6.xml" /><Relationship Id="rId13" Type="http://schemas.openxmlformats.org/officeDocument/2006/relationships/ctrlProp" Target="../ctrlProps/ctrlProp10.xml" /><Relationship Id="rId18" Type="http://schemas.openxmlformats.org/officeDocument/2006/relationships/ctrlProp" Target="../ctrlProps/ctrlProp15.xml" /><Relationship Id="rId39" Type="http://schemas.openxmlformats.org/officeDocument/2006/relationships/ctrlProp" Target="../ctrlProps/ctrlProp36.xml" /></Relationships>
</file>

<file path=xl/worksheets/_rels/sheet3.xml.rels>&#65279;<?xml version="1.0" encoding="utf-8" standalone="yes"?>
<Relationships xmlns="http://schemas.openxmlformats.org/package/2006/relationships"><Relationship Id="rId3" Type="http://schemas.openxmlformats.org/officeDocument/2006/relationships/vmlDrawing" Target="../drawings/vmlDrawing3.vml" /><Relationship Id="rId2" Type="http://schemas.openxmlformats.org/officeDocument/2006/relationships/drawing" Target="../drawings/drawing3.xml" /></Relationships>
</file>

<file path=xl/worksheets/_rels/sheet4.xml.rels>&#65279;<?xml version="1.0" encoding="utf-8" standalone="yes"?>
<Relationships xmlns="http://schemas.openxmlformats.org/package/2006/relationships"><Relationship Id="rId3" Type="http://schemas.openxmlformats.org/officeDocument/2006/relationships/vmlDrawing" Target="../drawings/vmlDrawing4.vml" /><Relationship Id="rId2" Type="http://schemas.openxmlformats.org/officeDocument/2006/relationships/drawing" Target="../drawings/drawing4.xml" /></Relationships>
</file>

<file path=xl/worksheets/_rels/sheet5.xml.rels>&#65279;<?xml version="1.0" encoding="utf-8" standalone="yes"?>
<Relationships xmlns="http://schemas.openxmlformats.org/package/2006/relationships"><Relationship Id="rId3" Type="http://schemas.openxmlformats.org/officeDocument/2006/relationships/vmlDrawing" Target="../drawings/vmlDrawing5.vml" /><Relationship Id="rId2" Type="http://schemas.openxmlformats.org/officeDocument/2006/relationships/drawing" Target="../drawings/drawing5.xml" /></Relationships>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E153"/>
  <sheetViews>
    <sheetView showGridLines="0" tabSelected="1" view="pageBreakPreview" zoomScale="66" zoomScaleNormal="100" zoomScaleSheetLayoutView="66" workbookViewId="0"/>
  </sheetViews>
  <sheetFormatPr defaultColWidth="9" defaultRowHeight="20.100000000000001" customHeight="1"/>
  <cols>
    <col min="1" max="1" width="4.625" style="163" customWidth="1"/>
    <col min="2" max="2" width="11" style="163" customWidth="1"/>
    <col min="3" max="22" width="2.625" style="163" customWidth="1"/>
    <col min="23" max="23" width="12.625" style="163" customWidth="1"/>
    <col min="24" max="24" width="25" style="163" customWidth="1"/>
    <col min="25" max="25" width="22.5" style="163" customWidth="1"/>
    <col min="26" max="28" width="21.875" style="163" customWidth="1"/>
    <col min="29" max="29" width="14.625" style="163" bestFit="1" customWidth="1"/>
    <col min="30" max="30" width="4.625" style="163" customWidth="1"/>
    <col min="31" max="31" width="9" style="163" hidden="1" customWidth="1"/>
    <col min="32" max="33" width="9" style="163" customWidth="1"/>
    <col min="34" max="16384" width="9" style="163"/>
  </cols>
  <sheetData>
    <row r="1" spans="1:29" ht="20.100000000000001" customHeight="1">
      <c r="A1" s="423" t="s">
        <v>2396</v>
      </c>
    </row>
    <row r="2" spans="1:29" ht="9" customHeight="1">
      <c r="A2" s="380"/>
    </row>
    <row r="3" spans="1:29" ht="20.100000000000001" customHeight="1">
      <c r="A3" s="424" t="s">
        <v>171</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row>
    <row r="4" spans="1:29" s="425" customFormat="1" ht="37.5" customHeight="1">
      <c r="A4" s="709" t="s">
        <v>181</v>
      </c>
      <c r="B4" s="709"/>
      <c r="C4" s="709"/>
      <c r="D4" s="709"/>
      <c r="E4" s="709"/>
      <c r="F4" s="709"/>
      <c r="G4" s="709"/>
      <c r="H4" s="709"/>
      <c r="I4" s="709"/>
      <c r="J4" s="709"/>
      <c r="K4" s="709"/>
      <c r="L4" s="709"/>
      <c r="M4" s="709"/>
      <c r="N4" s="709"/>
      <c r="O4" s="709"/>
      <c r="P4" s="709"/>
      <c r="Q4" s="709"/>
      <c r="R4" s="709"/>
      <c r="S4" s="709"/>
      <c r="T4" s="709"/>
      <c r="U4" s="709"/>
      <c r="V4" s="709"/>
      <c r="W4" s="709"/>
      <c r="X4" s="709"/>
      <c r="Y4" s="709"/>
      <c r="Z4" s="709"/>
      <c r="AA4" s="709"/>
      <c r="AB4" s="709"/>
      <c r="AC4" s="709"/>
    </row>
    <row r="5" spans="1:29" ht="6" customHeight="1">
      <c r="A5" s="424"/>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row>
    <row r="6" spans="1:29" ht="35.25" customHeight="1">
      <c r="A6" s="780" t="s">
        <v>2401</v>
      </c>
      <c r="B6" s="780"/>
      <c r="C6" s="780"/>
      <c r="D6" s="780"/>
      <c r="E6" s="780"/>
      <c r="F6" s="780"/>
      <c r="G6" s="780"/>
      <c r="H6" s="780"/>
      <c r="I6" s="780"/>
      <c r="J6" s="780"/>
      <c r="K6" s="780"/>
      <c r="L6" s="780"/>
      <c r="M6" s="780"/>
      <c r="N6" s="780"/>
      <c r="O6" s="780"/>
      <c r="P6" s="780"/>
      <c r="Q6" s="780"/>
      <c r="R6" s="780"/>
      <c r="S6" s="780"/>
      <c r="T6" s="780"/>
      <c r="U6" s="780"/>
      <c r="V6" s="780"/>
      <c r="W6" s="780"/>
      <c r="X6" s="780"/>
      <c r="Y6" s="780"/>
      <c r="Z6" s="780"/>
      <c r="AA6" s="780"/>
      <c r="AB6" s="780"/>
      <c r="AC6" s="780"/>
    </row>
    <row r="7" spans="1:29" ht="12" customHeight="1">
      <c r="A7" s="426"/>
      <c r="B7" s="194"/>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row>
    <row r="8" spans="1:29" ht="20.100000000000001" customHeight="1">
      <c r="A8" s="424"/>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row>
    <row r="9" spans="1:29" ht="20.100000000000001" customHeight="1">
      <c r="A9" s="424"/>
      <c r="B9" s="194"/>
      <c r="C9" s="194"/>
      <c r="D9" s="194"/>
      <c r="E9" s="194"/>
      <c r="F9" s="194"/>
      <c r="G9" s="194"/>
      <c r="H9" s="194"/>
      <c r="I9" s="194"/>
      <c r="J9" s="194"/>
      <c r="K9" s="194"/>
      <c r="L9" s="194"/>
      <c r="M9" s="194"/>
      <c r="N9" s="194"/>
      <c r="O9" s="194"/>
      <c r="P9" s="194"/>
      <c r="Q9" s="194"/>
      <c r="R9" s="194"/>
      <c r="S9" s="194"/>
      <c r="T9" s="194"/>
      <c r="U9" s="194"/>
      <c r="V9" s="194"/>
      <c r="W9" s="194"/>
      <c r="X9" s="194"/>
      <c r="Y9" s="194"/>
      <c r="Z9" s="194"/>
      <c r="AA9" s="194"/>
      <c r="AB9" s="194"/>
      <c r="AC9" s="194"/>
    </row>
    <row r="10" spans="1:29" ht="20.100000000000001" customHeight="1">
      <c r="A10" s="424"/>
      <c r="B10" s="194"/>
      <c r="C10" s="194"/>
      <c r="D10" s="194"/>
      <c r="E10" s="194"/>
      <c r="F10" s="194"/>
      <c r="G10" s="194"/>
      <c r="H10" s="194"/>
      <c r="I10" s="194"/>
      <c r="J10" s="194"/>
      <c r="K10" s="194"/>
      <c r="L10" s="194"/>
      <c r="M10" s="194"/>
      <c r="N10" s="194"/>
      <c r="O10" s="194"/>
      <c r="P10" s="194"/>
      <c r="Q10" s="194"/>
      <c r="R10" s="194"/>
      <c r="S10" s="194"/>
      <c r="T10" s="194"/>
      <c r="U10" s="194"/>
      <c r="V10" s="194"/>
      <c r="W10" s="194"/>
      <c r="X10" s="194"/>
      <c r="Y10" s="194"/>
      <c r="Z10" s="194"/>
      <c r="AA10" s="194"/>
      <c r="AB10" s="194"/>
      <c r="AC10" s="194"/>
    </row>
    <row r="11" spans="1:29" ht="20.100000000000001" customHeight="1">
      <c r="A11" s="424"/>
      <c r="B11" s="194"/>
      <c r="C11" s="194"/>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194"/>
      <c r="AC11" s="194"/>
    </row>
    <row r="12" spans="1:29" ht="20.100000000000001" customHeight="1">
      <c r="A12" s="424"/>
      <c r="B12" s="194"/>
      <c r="C12" s="194"/>
      <c r="D12" s="194"/>
      <c r="E12" s="194"/>
      <c r="F12" s="194"/>
      <c r="G12" s="194"/>
      <c r="H12" s="194"/>
      <c r="I12" s="194"/>
      <c r="J12" s="194"/>
      <c r="K12" s="194"/>
      <c r="L12" s="194"/>
      <c r="M12" s="194"/>
      <c r="N12" s="194"/>
      <c r="O12" s="194"/>
      <c r="P12" s="194"/>
      <c r="Q12" s="194"/>
      <c r="R12" s="194"/>
      <c r="S12" s="194"/>
      <c r="T12" s="194"/>
      <c r="U12" s="194"/>
      <c r="V12" s="194"/>
      <c r="W12" s="194"/>
      <c r="X12" s="194"/>
      <c r="Y12" s="194"/>
      <c r="Z12" s="194"/>
      <c r="AA12" s="194"/>
      <c r="AB12" s="194"/>
      <c r="AC12" s="194"/>
    </row>
    <row r="13" spans="1:29" ht="20.100000000000001" customHeight="1">
      <c r="A13" s="424"/>
      <c r="B13" s="194"/>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row>
    <row r="14" spans="1:29" ht="13.5" customHeight="1">
      <c r="A14" s="424"/>
      <c r="B14" s="194"/>
      <c r="C14" s="194"/>
      <c r="D14" s="194"/>
      <c r="E14" s="194"/>
      <c r="F14" s="194"/>
      <c r="G14" s="194"/>
      <c r="H14" s="194"/>
      <c r="I14" s="194"/>
      <c r="J14" s="194"/>
      <c r="K14" s="194"/>
      <c r="L14" s="194"/>
      <c r="M14" s="194"/>
      <c r="N14" s="194"/>
      <c r="O14" s="194"/>
      <c r="P14" s="194"/>
      <c r="Q14" s="194"/>
      <c r="R14" s="194"/>
      <c r="S14" s="194"/>
      <c r="T14" s="194"/>
      <c r="U14" s="194"/>
      <c r="V14" s="194"/>
      <c r="W14" s="194"/>
      <c r="X14" s="194"/>
      <c r="Y14" s="194"/>
      <c r="Z14" s="194"/>
      <c r="AA14" s="194"/>
      <c r="AB14" s="194"/>
      <c r="AC14" s="194"/>
    </row>
    <row r="15" spans="1:29" ht="35.25" customHeight="1">
      <c r="A15" s="710" t="s">
        <v>2402</v>
      </c>
      <c r="B15" s="710"/>
      <c r="C15" s="710"/>
      <c r="D15" s="710"/>
      <c r="E15" s="710"/>
      <c r="F15" s="710"/>
      <c r="G15" s="710"/>
      <c r="H15" s="710"/>
      <c r="I15" s="710"/>
      <c r="J15" s="710"/>
      <c r="K15" s="710"/>
      <c r="L15" s="710"/>
      <c r="M15" s="710"/>
      <c r="N15" s="710"/>
      <c r="O15" s="710"/>
      <c r="P15" s="710"/>
      <c r="Q15" s="710"/>
      <c r="R15" s="710"/>
      <c r="S15" s="710"/>
      <c r="T15" s="710"/>
      <c r="U15" s="710"/>
      <c r="V15" s="710"/>
      <c r="W15" s="710"/>
      <c r="X15" s="710"/>
      <c r="Y15" s="710"/>
      <c r="Z15" s="710"/>
      <c r="AA15" s="710"/>
      <c r="AB15" s="710"/>
      <c r="AC15" s="710"/>
    </row>
    <row r="16" spans="1:29" ht="13.5" customHeight="1">
      <c r="A16" s="424"/>
      <c r="B16" s="194"/>
      <c r="C16" s="194"/>
      <c r="D16" s="194"/>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row>
    <row r="17" spans="1:31" ht="13.5" customHeight="1">
      <c r="A17" s="424"/>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row>
    <row r="18" spans="1:31" ht="13.5" customHeight="1">
      <c r="A18" s="424"/>
      <c r="B18" s="194"/>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row>
    <row r="19" spans="1:31" ht="13.5" customHeight="1">
      <c r="A19" s="424"/>
      <c r="B19" s="194"/>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row>
    <row r="20" spans="1:31" ht="13.5" customHeight="1">
      <c r="A20" s="424"/>
      <c r="B20" s="194"/>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row>
    <row r="21" spans="1:31" ht="13.5" customHeight="1">
      <c r="A21" s="424"/>
      <c r="B21" s="194"/>
      <c r="C21" s="194"/>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row>
    <row r="22" spans="1:31" ht="13.5" customHeight="1">
      <c r="A22" s="424"/>
      <c r="B22" s="194"/>
      <c r="C22" s="194"/>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row>
    <row r="23" spans="1:31" ht="13.5" customHeight="1">
      <c r="A23" s="424"/>
      <c r="B23" s="194"/>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row>
    <row r="24" spans="1:31" ht="13.5" customHeight="1">
      <c r="A24" s="424"/>
      <c r="B24" s="194"/>
      <c r="C24" s="194"/>
      <c r="D24" s="194"/>
      <c r="E24" s="194"/>
      <c r="F24" s="194"/>
      <c r="G24" s="194"/>
      <c r="H24" s="194"/>
      <c r="I24" s="194"/>
      <c r="J24" s="194"/>
      <c r="K24" s="194"/>
      <c r="L24" s="194"/>
      <c r="M24" s="194"/>
      <c r="N24" s="194"/>
      <c r="O24" s="194"/>
      <c r="P24" s="194"/>
      <c r="Q24" s="194"/>
      <c r="R24" s="194"/>
      <c r="S24" s="194"/>
      <c r="T24" s="194"/>
      <c r="U24" s="194"/>
      <c r="V24" s="194"/>
      <c r="W24" s="194"/>
      <c r="X24" s="194"/>
      <c r="Y24" s="194"/>
      <c r="Z24" s="194"/>
      <c r="AA24" s="194"/>
      <c r="AB24" s="194"/>
      <c r="AC24" s="194"/>
    </row>
    <row r="25" spans="1:31" ht="13.5" customHeight="1">
      <c r="A25" s="424"/>
      <c r="B25" s="194"/>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row>
    <row r="26" spans="1:31" ht="13.5" customHeight="1">
      <c r="A26" s="424"/>
      <c r="B26" s="194"/>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row>
    <row r="27" spans="1:31" ht="13.5" customHeight="1">
      <c r="A27" s="424"/>
      <c r="B27" s="194"/>
      <c r="C27" s="194"/>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row>
    <row r="28" spans="1:31" ht="13.5" customHeight="1">
      <c r="A28" s="424"/>
      <c r="B28" s="194"/>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row>
    <row r="29" spans="1:31" ht="13.5" customHeight="1">
      <c r="A29" s="424"/>
      <c r="B29" s="194"/>
      <c r="C29" s="194"/>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row>
    <row r="30" spans="1:31" ht="13.5" customHeight="1">
      <c r="A30" s="424"/>
      <c r="B30" s="194"/>
      <c r="C30" s="194"/>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row>
    <row r="31" spans="1:31" ht="20.100000000000001" customHeight="1">
      <c r="A31" s="427" t="s">
        <v>82</v>
      </c>
      <c r="B31" s="194"/>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row>
    <row r="32" spans="1:31" ht="20.100000000000001" customHeight="1" thickBot="1">
      <c r="A32" s="194"/>
      <c r="B32" s="424" t="s">
        <v>2270</v>
      </c>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E32" s="428" t="s">
        <v>66</v>
      </c>
    </row>
    <row r="33" spans="1:31" ht="20.100000000000001" customHeight="1" thickBot="1">
      <c r="A33" s="194"/>
      <c r="B33" s="429" t="s">
        <v>139</v>
      </c>
      <c r="C33" s="770"/>
      <c r="D33" s="771"/>
      <c r="E33" s="771"/>
      <c r="F33" s="771"/>
      <c r="G33" s="771"/>
      <c r="H33" s="771"/>
      <c r="I33" s="771"/>
      <c r="J33" s="771"/>
      <c r="K33" s="771"/>
      <c r="L33" s="772"/>
      <c r="M33" s="194"/>
      <c r="N33" s="194"/>
      <c r="O33" s="194"/>
      <c r="P33" s="194"/>
      <c r="Q33" s="194"/>
      <c r="R33" s="194"/>
      <c r="S33" s="194"/>
      <c r="T33" s="194"/>
      <c r="U33" s="194"/>
      <c r="V33" s="194"/>
      <c r="W33" s="194"/>
      <c r="X33" s="194"/>
      <c r="Y33" s="194"/>
      <c r="Z33" s="194"/>
      <c r="AA33" s="194"/>
      <c r="AB33" s="194"/>
      <c r="AC33" s="194"/>
      <c r="AE33" s="428" t="str">
        <f>CONCATENATE(M39,N39,O39,P39,Q39,R39,S39,T39)</f>
        <v>－</v>
      </c>
    </row>
    <row r="34" spans="1:31" ht="13.5" customHeight="1">
      <c r="A34" s="194"/>
      <c r="B34" s="430"/>
      <c r="C34" s="431"/>
      <c r="D34" s="431"/>
      <c r="E34" s="431"/>
      <c r="F34" s="431"/>
      <c r="G34" s="431"/>
      <c r="H34" s="431"/>
      <c r="I34" s="431"/>
      <c r="J34" s="431"/>
      <c r="K34" s="431"/>
      <c r="L34" s="431"/>
      <c r="M34" s="431"/>
      <c r="N34" s="431"/>
      <c r="O34" s="431"/>
      <c r="P34" s="431"/>
      <c r="Q34" s="431"/>
      <c r="R34" s="431"/>
      <c r="S34" s="431"/>
      <c r="T34" s="431"/>
      <c r="U34" s="431"/>
      <c r="V34" s="431"/>
      <c r="W34" s="431"/>
      <c r="X34" s="431"/>
      <c r="Y34" s="431"/>
      <c r="Z34" s="431"/>
      <c r="AA34" s="431"/>
      <c r="AB34" s="431"/>
      <c r="AC34" s="431"/>
    </row>
    <row r="35" spans="1:31" ht="20.100000000000001" customHeight="1">
      <c r="A35" s="427" t="s">
        <v>83</v>
      </c>
      <c r="B35" s="194"/>
      <c r="C35" s="194"/>
      <c r="D35" s="194"/>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row>
    <row r="36" spans="1:31" ht="20.100000000000001" customHeight="1" thickBot="1">
      <c r="A36" s="194"/>
      <c r="B36" s="424" t="s">
        <v>178</v>
      </c>
      <c r="C36" s="194"/>
      <c r="D36" s="194"/>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row>
    <row r="37" spans="1:31" ht="20.100000000000001" customHeight="1">
      <c r="A37" s="194"/>
      <c r="B37" s="432" t="s">
        <v>5</v>
      </c>
      <c r="C37" s="699" t="s">
        <v>7</v>
      </c>
      <c r="D37" s="699"/>
      <c r="E37" s="699"/>
      <c r="F37" s="699"/>
      <c r="G37" s="699"/>
      <c r="H37" s="699"/>
      <c r="I37" s="699"/>
      <c r="J37" s="699"/>
      <c r="K37" s="699"/>
      <c r="L37" s="700"/>
      <c r="M37" s="728"/>
      <c r="N37" s="729"/>
      <c r="O37" s="729"/>
      <c r="P37" s="729"/>
      <c r="Q37" s="729"/>
      <c r="R37" s="729"/>
      <c r="S37" s="729"/>
      <c r="T37" s="729"/>
      <c r="U37" s="729"/>
      <c r="V37" s="729"/>
      <c r="W37" s="730"/>
      <c r="X37" s="731"/>
      <c r="Y37" s="194"/>
      <c r="Z37" s="194"/>
      <c r="AA37" s="194"/>
      <c r="AB37" s="194"/>
      <c r="AC37" s="194"/>
    </row>
    <row r="38" spans="1:31" ht="20.100000000000001" customHeight="1" thickBot="1">
      <c r="A38" s="194"/>
      <c r="B38" s="433"/>
      <c r="C38" s="699" t="s">
        <v>55</v>
      </c>
      <c r="D38" s="699"/>
      <c r="E38" s="699"/>
      <c r="F38" s="699"/>
      <c r="G38" s="699"/>
      <c r="H38" s="699"/>
      <c r="I38" s="699"/>
      <c r="J38" s="699"/>
      <c r="K38" s="699"/>
      <c r="L38" s="700"/>
      <c r="M38" s="732"/>
      <c r="N38" s="733"/>
      <c r="O38" s="733"/>
      <c r="P38" s="733"/>
      <c r="Q38" s="733"/>
      <c r="R38" s="733"/>
      <c r="S38" s="733"/>
      <c r="T38" s="733"/>
      <c r="U38" s="733"/>
      <c r="V38" s="733"/>
      <c r="W38" s="733"/>
      <c r="X38" s="734"/>
      <c r="Y38" s="194"/>
      <c r="Z38" s="194"/>
      <c r="AA38" s="194"/>
      <c r="AB38" s="194"/>
      <c r="AC38" s="194"/>
    </row>
    <row r="39" spans="1:31" ht="20.100000000000001" customHeight="1" thickBot="1">
      <c r="A39" s="194"/>
      <c r="B39" s="432" t="s">
        <v>56</v>
      </c>
      <c r="C39" s="699" t="s">
        <v>6</v>
      </c>
      <c r="D39" s="699"/>
      <c r="E39" s="699"/>
      <c r="F39" s="699"/>
      <c r="G39" s="699"/>
      <c r="H39" s="699"/>
      <c r="I39" s="699"/>
      <c r="J39" s="699"/>
      <c r="K39" s="699"/>
      <c r="L39" s="700"/>
      <c r="M39" s="14"/>
      <c r="N39" s="15"/>
      <c r="O39" s="15"/>
      <c r="P39" s="434" t="s">
        <v>62</v>
      </c>
      <c r="Q39" s="15"/>
      <c r="R39" s="15"/>
      <c r="S39" s="15"/>
      <c r="T39" s="16"/>
      <c r="U39" s="435"/>
      <c r="V39" s="436"/>
      <c r="W39" s="436"/>
      <c r="X39" s="436"/>
      <c r="Y39" s="194"/>
      <c r="Z39" s="194"/>
      <c r="AA39" s="194"/>
      <c r="AB39" s="194"/>
      <c r="AC39" s="194"/>
    </row>
    <row r="40" spans="1:31" ht="20.100000000000001" customHeight="1">
      <c r="A40" s="194"/>
      <c r="B40" s="437"/>
      <c r="C40" s="699" t="s">
        <v>60</v>
      </c>
      <c r="D40" s="699"/>
      <c r="E40" s="699"/>
      <c r="F40" s="699"/>
      <c r="G40" s="699"/>
      <c r="H40" s="699"/>
      <c r="I40" s="699"/>
      <c r="J40" s="699"/>
      <c r="K40" s="699"/>
      <c r="L40" s="700"/>
      <c r="M40" s="735"/>
      <c r="N40" s="736"/>
      <c r="O40" s="736"/>
      <c r="P40" s="736"/>
      <c r="Q40" s="736"/>
      <c r="R40" s="736"/>
      <c r="S40" s="736"/>
      <c r="T40" s="736"/>
      <c r="U40" s="737"/>
      <c r="V40" s="737"/>
      <c r="W40" s="738"/>
      <c r="X40" s="739"/>
      <c r="Y40" s="194"/>
      <c r="Z40" s="194"/>
      <c r="AA40" s="194"/>
      <c r="AB40" s="194"/>
      <c r="AC40" s="194"/>
    </row>
    <row r="41" spans="1:31" ht="20.100000000000001" customHeight="1">
      <c r="A41" s="194"/>
      <c r="B41" s="433"/>
      <c r="C41" s="699" t="s">
        <v>61</v>
      </c>
      <c r="D41" s="699"/>
      <c r="E41" s="699"/>
      <c r="F41" s="699"/>
      <c r="G41" s="699"/>
      <c r="H41" s="699"/>
      <c r="I41" s="699"/>
      <c r="J41" s="699"/>
      <c r="K41" s="699"/>
      <c r="L41" s="700"/>
      <c r="M41" s="735"/>
      <c r="N41" s="736"/>
      <c r="O41" s="736"/>
      <c r="P41" s="736"/>
      <c r="Q41" s="736"/>
      <c r="R41" s="736"/>
      <c r="S41" s="736"/>
      <c r="T41" s="736"/>
      <c r="U41" s="736"/>
      <c r="V41" s="736"/>
      <c r="W41" s="740"/>
      <c r="X41" s="741"/>
      <c r="Y41" s="194"/>
      <c r="Z41" s="194"/>
      <c r="AA41" s="194"/>
      <c r="AB41" s="194"/>
      <c r="AC41" s="194"/>
    </row>
    <row r="42" spans="1:31" ht="20.100000000000001" customHeight="1">
      <c r="A42" s="194"/>
      <c r="B42" s="432" t="s">
        <v>57</v>
      </c>
      <c r="C42" s="699" t="s">
        <v>52</v>
      </c>
      <c r="D42" s="699"/>
      <c r="E42" s="699"/>
      <c r="F42" s="699"/>
      <c r="G42" s="699"/>
      <c r="H42" s="699"/>
      <c r="I42" s="699"/>
      <c r="J42" s="699"/>
      <c r="K42" s="699"/>
      <c r="L42" s="700"/>
      <c r="M42" s="702"/>
      <c r="N42" s="703"/>
      <c r="O42" s="703"/>
      <c r="P42" s="703"/>
      <c r="Q42" s="703"/>
      <c r="R42" s="703"/>
      <c r="S42" s="703"/>
      <c r="T42" s="703"/>
      <c r="U42" s="703"/>
      <c r="V42" s="703"/>
      <c r="W42" s="704"/>
      <c r="X42" s="705"/>
      <c r="Y42" s="194"/>
      <c r="Z42" s="194"/>
      <c r="AA42" s="194"/>
      <c r="AB42" s="194"/>
      <c r="AC42" s="194"/>
    </row>
    <row r="43" spans="1:31" ht="20.100000000000001" customHeight="1">
      <c r="A43" s="194"/>
      <c r="B43" s="433"/>
      <c r="C43" s="699" t="s">
        <v>53</v>
      </c>
      <c r="D43" s="699"/>
      <c r="E43" s="699"/>
      <c r="F43" s="699"/>
      <c r="G43" s="699"/>
      <c r="H43" s="699"/>
      <c r="I43" s="699"/>
      <c r="J43" s="699"/>
      <c r="K43" s="699"/>
      <c r="L43" s="700"/>
      <c r="M43" s="754"/>
      <c r="N43" s="755"/>
      <c r="O43" s="755"/>
      <c r="P43" s="755"/>
      <c r="Q43" s="755"/>
      <c r="R43" s="755"/>
      <c r="S43" s="755"/>
      <c r="T43" s="755"/>
      <c r="U43" s="755"/>
      <c r="V43" s="755"/>
      <c r="W43" s="756"/>
      <c r="X43" s="757"/>
      <c r="Y43" s="194"/>
      <c r="Z43" s="194"/>
      <c r="AA43" s="194"/>
      <c r="AB43" s="194"/>
      <c r="AC43" s="194"/>
    </row>
    <row r="44" spans="1:31" ht="20.100000000000001" customHeight="1">
      <c r="A44" s="194"/>
      <c r="B44" s="758" t="s">
        <v>77</v>
      </c>
      <c r="C44" s="699" t="s">
        <v>7</v>
      </c>
      <c r="D44" s="699"/>
      <c r="E44" s="699"/>
      <c r="F44" s="699"/>
      <c r="G44" s="699"/>
      <c r="H44" s="699"/>
      <c r="I44" s="699"/>
      <c r="J44" s="699"/>
      <c r="K44" s="699"/>
      <c r="L44" s="700"/>
      <c r="M44" s="702"/>
      <c r="N44" s="703"/>
      <c r="O44" s="703"/>
      <c r="P44" s="703"/>
      <c r="Q44" s="703"/>
      <c r="R44" s="703"/>
      <c r="S44" s="703"/>
      <c r="T44" s="703"/>
      <c r="U44" s="703"/>
      <c r="V44" s="703"/>
      <c r="W44" s="704"/>
      <c r="X44" s="705"/>
      <c r="Y44" s="194"/>
      <c r="Z44" s="194"/>
      <c r="AA44" s="194"/>
      <c r="AB44" s="194"/>
      <c r="AC44" s="194"/>
    </row>
    <row r="45" spans="1:31" ht="20.100000000000001" customHeight="1">
      <c r="A45" s="194"/>
      <c r="B45" s="759"/>
      <c r="C45" s="701" t="s">
        <v>53</v>
      </c>
      <c r="D45" s="701"/>
      <c r="E45" s="701"/>
      <c r="F45" s="701"/>
      <c r="G45" s="701"/>
      <c r="H45" s="701"/>
      <c r="I45" s="701"/>
      <c r="J45" s="701"/>
      <c r="K45" s="701"/>
      <c r="L45" s="701"/>
      <c r="M45" s="702"/>
      <c r="N45" s="703"/>
      <c r="O45" s="703"/>
      <c r="P45" s="703"/>
      <c r="Q45" s="703"/>
      <c r="R45" s="703"/>
      <c r="S45" s="703"/>
      <c r="T45" s="703"/>
      <c r="U45" s="703"/>
      <c r="V45" s="703"/>
      <c r="W45" s="704"/>
      <c r="X45" s="705"/>
      <c r="Y45" s="194"/>
      <c r="Z45" s="194"/>
      <c r="AA45" s="194"/>
      <c r="AB45" s="194"/>
      <c r="AC45" s="194"/>
    </row>
    <row r="46" spans="1:31" ht="20.100000000000001" customHeight="1">
      <c r="A46" s="194"/>
      <c r="B46" s="432" t="s">
        <v>76</v>
      </c>
      <c r="C46" s="699" t="s">
        <v>0</v>
      </c>
      <c r="D46" s="699"/>
      <c r="E46" s="699"/>
      <c r="F46" s="699"/>
      <c r="G46" s="699"/>
      <c r="H46" s="699"/>
      <c r="I46" s="699"/>
      <c r="J46" s="699"/>
      <c r="K46" s="699"/>
      <c r="L46" s="700"/>
      <c r="M46" s="742"/>
      <c r="N46" s="743"/>
      <c r="O46" s="743"/>
      <c r="P46" s="743"/>
      <c r="Q46" s="743"/>
      <c r="R46" s="743"/>
      <c r="S46" s="743"/>
      <c r="T46" s="743"/>
      <c r="U46" s="743"/>
      <c r="V46" s="743"/>
      <c r="W46" s="744"/>
      <c r="X46" s="745"/>
      <c r="Y46" s="194"/>
      <c r="Z46" s="194"/>
      <c r="AA46" s="194"/>
      <c r="AB46" s="194"/>
      <c r="AC46" s="194"/>
    </row>
    <row r="47" spans="1:31" ht="20.100000000000001" customHeight="1" thickBot="1">
      <c r="A47" s="194"/>
      <c r="B47" s="438"/>
      <c r="C47" s="699" t="s">
        <v>73</v>
      </c>
      <c r="D47" s="699"/>
      <c r="E47" s="699"/>
      <c r="F47" s="699"/>
      <c r="G47" s="699"/>
      <c r="H47" s="699"/>
      <c r="I47" s="699"/>
      <c r="J47" s="699"/>
      <c r="K47" s="699"/>
      <c r="L47" s="700"/>
      <c r="M47" s="773"/>
      <c r="N47" s="774"/>
      <c r="O47" s="774"/>
      <c r="P47" s="774"/>
      <c r="Q47" s="774"/>
      <c r="R47" s="774"/>
      <c r="S47" s="774"/>
      <c r="T47" s="774"/>
      <c r="U47" s="774"/>
      <c r="V47" s="774"/>
      <c r="W47" s="775"/>
      <c r="X47" s="776"/>
      <c r="Y47" s="194"/>
      <c r="Z47" s="194"/>
      <c r="AA47" s="194"/>
      <c r="AB47" s="194"/>
      <c r="AC47" s="194"/>
    </row>
    <row r="48" spans="1:31" ht="20.100000000000001" customHeight="1">
      <c r="A48" s="194"/>
      <c r="B48" s="194"/>
      <c r="C48" s="194"/>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row>
    <row r="49" spans="1:30" ht="20.100000000000001" customHeight="1">
      <c r="A49" s="427" t="s">
        <v>141</v>
      </c>
      <c r="B49" s="194"/>
      <c r="C49" s="194"/>
      <c r="D49" s="194"/>
      <c r="E49" s="194"/>
      <c r="F49" s="194"/>
      <c r="G49" s="194"/>
      <c r="H49" s="194"/>
      <c r="I49" s="194"/>
      <c r="J49" s="194"/>
      <c r="K49" s="194"/>
      <c r="L49" s="194"/>
      <c r="M49" s="194"/>
      <c r="N49" s="194"/>
      <c r="O49" s="194"/>
      <c r="P49" s="194"/>
      <c r="Q49" s="194"/>
      <c r="R49" s="194"/>
      <c r="S49" s="194"/>
      <c r="T49" s="194"/>
      <c r="U49" s="194"/>
      <c r="V49" s="194"/>
      <c r="W49" s="194"/>
      <c r="X49" s="194"/>
      <c r="Y49" s="194"/>
      <c r="Z49" s="194"/>
      <c r="AA49" s="194"/>
      <c r="AB49" s="194"/>
      <c r="AC49" s="194"/>
    </row>
    <row r="50" spans="1:30" ht="20.100000000000001" customHeight="1">
      <c r="A50" s="194"/>
      <c r="B50" s="424" t="s">
        <v>2321</v>
      </c>
      <c r="C50" s="194"/>
      <c r="D50" s="194"/>
      <c r="E50" s="194"/>
      <c r="F50" s="194"/>
      <c r="G50" s="194"/>
      <c r="H50" s="194"/>
      <c r="I50" s="194"/>
      <c r="J50" s="194"/>
      <c r="K50" s="194"/>
      <c r="L50" s="194"/>
      <c r="M50" s="194"/>
      <c r="N50" s="194"/>
      <c r="O50" s="194"/>
      <c r="P50" s="194"/>
      <c r="Q50" s="194"/>
      <c r="R50" s="194"/>
      <c r="S50" s="194"/>
      <c r="T50" s="194"/>
      <c r="U50" s="194"/>
      <c r="V50" s="194"/>
      <c r="W50" s="194"/>
      <c r="X50" s="439"/>
      <c r="Y50" s="194"/>
      <c r="Z50" s="194"/>
      <c r="AA50" s="194"/>
      <c r="AB50" s="194"/>
      <c r="AC50" s="194"/>
    </row>
    <row r="51" spans="1:30" ht="48.75" customHeight="1">
      <c r="A51" s="194"/>
      <c r="B51" s="746" t="s">
        <v>2322</v>
      </c>
      <c r="C51" s="746"/>
      <c r="D51" s="746"/>
      <c r="E51" s="746"/>
      <c r="F51" s="746"/>
      <c r="G51" s="746"/>
      <c r="H51" s="746"/>
      <c r="I51" s="746"/>
      <c r="J51" s="746"/>
      <c r="K51" s="746"/>
      <c r="L51" s="746"/>
      <c r="M51" s="746"/>
      <c r="N51" s="746"/>
      <c r="O51" s="746"/>
      <c r="P51" s="746"/>
      <c r="Q51" s="746"/>
      <c r="R51" s="746"/>
      <c r="S51" s="746"/>
      <c r="T51" s="746"/>
      <c r="U51" s="746"/>
      <c r="V51" s="746"/>
      <c r="W51" s="746"/>
      <c r="X51" s="746"/>
      <c r="Y51" s="746"/>
      <c r="Z51" s="746"/>
      <c r="AA51" s="746"/>
      <c r="AB51" s="746"/>
      <c r="AC51" s="746"/>
      <c r="AD51" s="440"/>
    </row>
    <row r="52" spans="1:30" ht="27" customHeight="1">
      <c r="A52" s="194"/>
      <c r="B52" s="712" t="s">
        <v>58</v>
      </c>
      <c r="C52" s="718" t="s">
        <v>59</v>
      </c>
      <c r="D52" s="718"/>
      <c r="E52" s="718"/>
      <c r="F52" s="718"/>
      <c r="G52" s="718"/>
      <c r="H52" s="718"/>
      <c r="I52" s="718"/>
      <c r="J52" s="718"/>
      <c r="K52" s="718"/>
      <c r="L52" s="719"/>
      <c r="M52" s="723" t="s">
        <v>63</v>
      </c>
      <c r="N52" s="718"/>
      <c r="O52" s="718"/>
      <c r="P52" s="718"/>
      <c r="Q52" s="719"/>
      <c r="R52" s="714" t="s">
        <v>88</v>
      </c>
      <c r="S52" s="715"/>
      <c r="T52" s="715"/>
      <c r="U52" s="715"/>
      <c r="V52" s="715"/>
      <c r="W52" s="716"/>
      <c r="X52" s="712" t="s">
        <v>64</v>
      </c>
      <c r="Y52" s="712" t="s">
        <v>65</v>
      </c>
      <c r="Z52" s="726" t="s">
        <v>190</v>
      </c>
      <c r="AA52" s="726" t="s">
        <v>2288</v>
      </c>
      <c r="AB52" s="726" t="s">
        <v>189</v>
      </c>
      <c r="AC52" s="725" t="s">
        <v>168</v>
      </c>
      <c r="AD52" s="711"/>
    </row>
    <row r="53" spans="1:30" ht="32.25" customHeight="1" thickBot="1">
      <c r="A53" s="194"/>
      <c r="B53" s="717"/>
      <c r="C53" s="720"/>
      <c r="D53" s="720"/>
      <c r="E53" s="720"/>
      <c r="F53" s="720"/>
      <c r="G53" s="720"/>
      <c r="H53" s="720"/>
      <c r="I53" s="720"/>
      <c r="J53" s="720"/>
      <c r="K53" s="720"/>
      <c r="L53" s="721"/>
      <c r="M53" s="724"/>
      <c r="N53" s="720"/>
      <c r="O53" s="720"/>
      <c r="P53" s="720"/>
      <c r="Q53" s="721"/>
      <c r="R53" s="722" t="s">
        <v>90</v>
      </c>
      <c r="S53" s="713"/>
      <c r="T53" s="713"/>
      <c r="U53" s="713"/>
      <c r="V53" s="713"/>
      <c r="W53" s="441" t="s">
        <v>91</v>
      </c>
      <c r="X53" s="713"/>
      <c r="Y53" s="713"/>
      <c r="Z53" s="727"/>
      <c r="AA53" s="727"/>
      <c r="AB53" s="727"/>
      <c r="AC53" s="722"/>
      <c r="AD53" s="711"/>
    </row>
    <row r="54" spans="1:30" ht="37.5" customHeight="1">
      <c r="A54" s="194"/>
      <c r="B54" s="429">
        <v>1</v>
      </c>
      <c r="C54" s="766"/>
      <c r="D54" s="767"/>
      <c r="E54" s="767"/>
      <c r="F54" s="767"/>
      <c r="G54" s="767"/>
      <c r="H54" s="767"/>
      <c r="I54" s="767"/>
      <c r="J54" s="767"/>
      <c r="K54" s="767"/>
      <c r="L54" s="768"/>
      <c r="M54" s="760"/>
      <c r="N54" s="761"/>
      <c r="O54" s="761"/>
      <c r="P54" s="761"/>
      <c r="Q54" s="762"/>
      <c r="R54" s="760"/>
      <c r="S54" s="761"/>
      <c r="T54" s="761"/>
      <c r="U54" s="761"/>
      <c r="V54" s="762"/>
      <c r="W54" s="108"/>
      <c r="X54" s="17"/>
      <c r="Y54" s="17"/>
      <c r="Z54" s="18"/>
      <c r="AA54" s="24"/>
      <c r="AB54" s="442" t="str">
        <f>IF(Z54-AA54=0,"",Z54-AA54)</f>
        <v/>
      </c>
      <c r="AC54" s="111" t="str">
        <f>IF(Y54="","",IFERROR(INDEX(【参考】数式用2!$G$3:$I$451,MATCH(W54,【参考】数式用2!$F$3:$F$451,0),MATCH(VLOOKUP(Y54,【参考】数式用2!$J$2:$K$26,2,FALSE),【参考】数式用2!$G$2:$I$2,0)),10))</f>
        <v/>
      </c>
      <c r="AD54" s="443"/>
    </row>
    <row r="55" spans="1:30" ht="37.5" customHeight="1">
      <c r="A55" s="194"/>
      <c r="B55" s="429">
        <f>B54+1</f>
        <v>2</v>
      </c>
      <c r="C55" s="747"/>
      <c r="D55" s="748"/>
      <c r="E55" s="748"/>
      <c r="F55" s="748"/>
      <c r="G55" s="748"/>
      <c r="H55" s="748"/>
      <c r="I55" s="748"/>
      <c r="J55" s="748"/>
      <c r="K55" s="748"/>
      <c r="L55" s="749"/>
      <c r="M55" s="763"/>
      <c r="N55" s="764"/>
      <c r="O55" s="764"/>
      <c r="P55" s="764"/>
      <c r="Q55" s="765"/>
      <c r="R55" s="696"/>
      <c r="S55" s="697"/>
      <c r="T55" s="697"/>
      <c r="U55" s="697"/>
      <c r="V55" s="698"/>
      <c r="W55" s="150"/>
      <c r="X55" s="19"/>
      <c r="Y55" s="19"/>
      <c r="Z55" s="20"/>
      <c r="AA55" s="25"/>
      <c r="AB55" s="444" t="str">
        <f>IF(Z55-AA55=0,"",Z55-AA55)</f>
        <v/>
      </c>
      <c r="AC55" s="112" t="str">
        <f>IF(Y55="","",IFERROR(INDEX(【参考】数式用2!$G$3:$I$451,MATCH(W55,【参考】数式用2!$F$3:$F$451,0),MATCH(VLOOKUP(Y55,【参考】数式用2!$J$2:$K$26,2,FALSE),【参考】数式用2!$G$2:$I$2,0)),10))</f>
        <v/>
      </c>
      <c r="AD55" s="443"/>
    </row>
    <row r="56" spans="1:30" ht="37.5" customHeight="1">
      <c r="A56" s="194"/>
      <c r="B56" s="429">
        <f t="shared" ref="B56:B92" si="0">B55+1</f>
        <v>3</v>
      </c>
      <c r="C56" s="747"/>
      <c r="D56" s="748"/>
      <c r="E56" s="748"/>
      <c r="F56" s="748"/>
      <c r="G56" s="748"/>
      <c r="H56" s="748"/>
      <c r="I56" s="748"/>
      <c r="J56" s="748"/>
      <c r="K56" s="748"/>
      <c r="L56" s="749"/>
      <c r="M56" s="696"/>
      <c r="N56" s="697"/>
      <c r="O56" s="697"/>
      <c r="P56" s="697"/>
      <c r="Q56" s="698"/>
      <c r="R56" s="696"/>
      <c r="S56" s="697"/>
      <c r="T56" s="697"/>
      <c r="U56" s="697"/>
      <c r="V56" s="698"/>
      <c r="W56" s="150"/>
      <c r="X56" s="19"/>
      <c r="Y56" s="19"/>
      <c r="Z56" s="21"/>
      <c r="AA56" s="26"/>
      <c r="AB56" s="444" t="str">
        <f t="shared" ref="AB56:AB119" si="1">IF(Z56-AA56=0,"",Z56-AA56)</f>
        <v/>
      </c>
      <c r="AC56" s="112" t="str">
        <f>IF(Y56="","",IFERROR(INDEX(【参考】数式用2!$G$3:$I$451,MATCH(W56,【参考】数式用2!$F$3:$F$451,0),MATCH(VLOOKUP(Y56,【参考】数式用2!$J$2:$K$26,2,FALSE),【参考】数式用2!$G$2:$I$2,0)),10))</f>
        <v/>
      </c>
      <c r="AD56" s="443"/>
    </row>
    <row r="57" spans="1:30" ht="37.5" customHeight="1">
      <c r="A57" s="194"/>
      <c r="B57" s="429">
        <f t="shared" si="0"/>
        <v>4</v>
      </c>
      <c r="C57" s="747"/>
      <c r="D57" s="748"/>
      <c r="E57" s="748"/>
      <c r="F57" s="748"/>
      <c r="G57" s="748"/>
      <c r="H57" s="748"/>
      <c r="I57" s="748"/>
      <c r="J57" s="748"/>
      <c r="K57" s="748"/>
      <c r="L57" s="749"/>
      <c r="M57" s="696"/>
      <c r="N57" s="697"/>
      <c r="O57" s="697"/>
      <c r="P57" s="697"/>
      <c r="Q57" s="698"/>
      <c r="R57" s="696"/>
      <c r="S57" s="697"/>
      <c r="T57" s="697"/>
      <c r="U57" s="697"/>
      <c r="V57" s="698"/>
      <c r="W57" s="150"/>
      <c r="X57" s="19"/>
      <c r="Y57" s="19"/>
      <c r="Z57" s="21"/>
      <c r="AA57" s="26"/>
      <c r="AB57" s="444" t="str">
        <f t="shared" si="1"/>
        <v/>
      </c>
      <c r="AC57" s="112" t="str">
        <f>IF(Y57="","",IFERROR(INDEX(【参考】数式用2!$G$3:$I$451,MATCH(W57,【参考】数式用2!$F$3:$F$451,0),MATCH(VLOOKUP(Y57,【参考】数式用2!$J$2:$K$26,2,FALSE),【参考】数式用2!$G$2:$I$2,0)),10))</f>
        <v/>
      </c>
      <c r="AD57" s="443"/>
    </row>
    <row r="58" spans="1:30" ht="37.5" customHeight="1">
      <c r="A58" s="194"/>
      <c r="B58" s="429">
        <f t="shared" si="0"/>
        <v>5</v>
      </c>
      <c r="C58" s="747"/>
      <c r="D58" s="748"/>
      <c r="E58" s="748"/>
      <c r="F58" s="748"/>
      <c r="G58" s="748"/>
      <c r="H58" s="748"/>
      <c r="I58" s="748"/>
      <c r="J58" s="748"/>
      <c r="K58" s="748"/>
      <c r="L58" s="749"/>
      <c r="M58" s="696"/>
      <c r="N58" s="697"/>
      <c r="O58" s="697"/>
      <c r="P58" s="697"/>
      <c r="Q58" s="698"/>
      <c r="R58" s="696"/>
      <c r="S58" s="697"/>
      <c r="T58" s="697"/>
      <c r="U58" s="697"/>
      <c r="V58" s="698"/>
      <c r="W58" s="150"/>
      <c r="X58" s="19"/>
      <c r="Y58" s="19"/>
      <c r="Z58" s="21"/>
      <c r="AA58" s="26"/>
      <c r="AB58" s="444" t="str">
        <f t="shared" si="1"/>
        <v/>
      </c>
      <c r="AC58" s="112" t="str">
        <f>IF(Y58="","",IFERROR(INDEX(【参考】数式用2!$G$3:$I$451,MATCH(W58,【参考】数式用2!$F$3:$F$451,0),MATCH(VLOOKUP(Y58,【参考】数式用2!$J$2:$K$26,2,FALSE),【参考】数式用2!$G$2:$I$2,0)),10))</f>
        <v/>
      </c>
      <c r="AD58" s="443"/>
    </row>
    <row r="59" spans="1:30" ht="37.5" customHeight="1">
      <c r="A59" s="194"/>
      <c r="B59" s="429">
        <f t="shared" si="0"/>
        <v>6</v>
      </c>
      <c r="C59" s="747"/>
      <c r="D59" s="748"/>
      <c r="E59" s="748"/>
      <c r="F59" s="748"/>
      <c r="G59" s="748"/>
      <c r="H59" s="748"/>
      <c r="I59" s="748"/>
      <c r="J59" s="748"/>
      <c r="K59" s="748"/>
      <c r="L59" s="749"/>
      <c r="M59" s="696"/>
      <c r="N59" s="697"/>
      <c r="O59" s="697"/>
      <c r="P59" s="697"/>
      <c r="Q59" s="698"/>
      <c r="R59" s="696"/>
      <c r="S59" s="697"/>
      <c r="T59" s="697"/>
      <c r="U59" s="697"/>
      <c r="V59" s="698"/>
      <c r="W59" s="150"/>
      <c r="X59" s="19"/>
      <c r="Y59" s="19"/>
      <c r="Z59" s="21"/>
      <c r="AA59" s="26"/>
      <c r="AB59" s="444" t="str">
        <f t="shared" si="1"/>
        <v/>
      </c>
      <c r="AC59" s="112" t="str">
        <f>IF(Y59="","",IFERROR(INDEX(【参考】数式用2!$G$3:$I$451,MATCH(W59,【参考】数式用2!$F$3:$F$451,0),MATCH(VLOOKUP(Y59,【参考】数式用2!$J$2:$K$26,2,FALSE),【参考】数式用2!$G$2:$I$2,0)),10))</f>
        <v/>
      </c>
      <c r="AD59" s="443"/>
    </row>
    <row r="60" spans="1:30" ht="37.5" customHeight="1">
      <c r="A60" s="194"/>
      <c r="B60" s="429">
        <f t="shared" si="0"/>
        <v>7</v>
      </c>
      <c r="C60" s="747"/>
      <c r="D60" s="748"/>
      <c r="E60" s="748"/>
      <c r="F60" s="748"/>
      <c r="G60" s="748"/>
      <c r="H60" s="748"/>
      <c r="I60" s="748"/>
      <c r="J60" s="748"/>
      <c r="K60" s="748"/>
      <c r="L60" s="749"/>
      <c r="M60" s="696"/>
      <c r="N60" s="697"/>
      <c r="O60" s="697"/>
      <c r="P60" s="697"/>
      <c r="Q60" s="698"/>
      <c r="R60" s="696"/>
      <c r="S60" s="697"/>
      <c r="T60" s="697"/>
      <c r="U60" s="697"/>
      <c r="V60" s="698"/>
      <c r="W60" s="150"/>
      <c r="X60" s="19"/>
      <c r="Y60" s="19"/>
      <c r="Z60" s="21"/>
      <c r="AA60" s="26"/>
      <c r="AB60" s="444" t="str">
        <f t="shared" si="1"/>
        <v/>
      </c>
      <c r="AC60" s="112" t="str">
        <f>IF(Y60="","",IFERROR(INDEX(【参考】数式用2!$G$3:$I$451,MATCH(W60,【参考】数式用2!$F$3:$F$451,0),MATCH(VLOOKUP(Y60,【参考】数式用2!$J$2:$K$26,2,FALSE),【参考】数式用2!$G$2:$I$2,0)),10))</f>
        <v/>
      </c>
      <c r="AD60" s="443"/>
    </row>
    <row r="61" spans="1:30" ht="37.5" customHeight="1">
      <c r="A61" s="194"/>
      <c r="B61" s="429">
        <f t="shared" si="0"/>
        <v>8</v>
      </c>
      <c r="C61" s="750"/>
      <c r="D61" s="751"/>
      <c r="E61" s="751"/>
      <c r="F61" s="751"/>
      <c r="G61" s="751"/>
      <c r="H61" s="751"/>
      <c r="I61" s="751"/>
      <c r="J61" s="751"/>
      <c r="K61" s="751"/>
      <c r="L61" s="752"/>
      <c r="M61" s="753"/>
      <c r="N61" s="753"/>
      <c r="O61" s="753"/>
      <c r="P61" s="753"/>
      <c r="Q61" s="753"/>
      <c r="R61" s="696"/>
      <c r="S61" s="697"/>
      <c r="T61" s="697"/>
      <c r="U61" s="697"/>
      <c r="V61" s="698"/>
      <c r="W61" s="150"/>
      <c r="X61" s="19"/>
      <c r="Y61" s="19"/>
      <c r="Z61" s="21"/>
      <c r="AA61" s="26"/>
      <c r="AB61" s="444" t="str">
        <f t="shared" si="1"/>
        <v/>
      </c>
      <c r="AC61" s="112" t="str">
        <f>IF(Y61="","",IFERROR(INDEX(【参考】数式用2!$G$3:$I$451,MATCH(W61,【参考】数式用2!$F$3:$F$451,0),MATCH(VLOOKUP(Y61,【参考】数式用2!$J$2:$K$26,2,FALSE),【参考】数式用2!$G$2:$I$2,0)),10))</f>
        <v/>
      </c>
      <c r="AD61" s="445"/>
    </row>
    <row r="62" spans="1:30" ht="37.5" customHeight="1">
      <c r="A62" s="194"/>
      <c r="B62" s="429">
        <f t="shared" si="0"/>
        <v>9</v>
      </c>
      <c r="C62" s="750"/>
      <c r="D62" s="751"/>
      <c r="E62" s="751"/>
      <c r="F62" s="751"/>
      <c r="G62" s="751"/>
      <c r="H62" s="751"/>
      <c r="I62" s="751"/>
      <c r="J62" s="751"/>
      <c r="K62" s="751"/>
      <c r="L62" s="752"/>
      <c r="M62" s="753"/>
      <c r="N62" s="753"/>
      <c r="O62" s="753"/>
      <c r="P62" s="753"/>
      <c r="Q62" s="753"/>
      <c r="R62" s="696"/>
      <c r="S62" s="697"/>
      <c r="T62" s="697"/>
      <c r="U62" s="697"/>
      <c r="V62" s="698"/>
      <c r="W62" s="150"/>
      <c r="X62" s="19"/>
      <c r="Y62" s="19"/>
      <c r="Z62" s="21"/>
      <c r="AA62" s="26"/>
      <c r="AB62" s="444" t="str">
        <f t="shared" si="1"/>
        <v/>
      </c>
      <c r="AC62" s="112" t="str">
        <f>IF(Y62="","",IFERROR(INDEX(【参考】数式用2!$G$3:$I$451,MATCH(W62,【参考】数式用2!$F$3:$F$451,0),MATCH(VLOOKUP(Y62,【参考】数式用2!$J$2:$K$26,2,FALSE),【参考】数式用2!$G$2:$I$2,0)),10))</f>
        <v/>
      </c>
      <c r="AD62" s="445"/>
    </row>
    <row r="63" spans="1:30" ht="37.5" customHeight="1">
      <c r="A63" s="194"/>
      <c r="B63" s="429">
        <f t="shared" si="0"/>
        <v>10</v>
      </c>
      <c r="C63" s="750"/>
      <c r="D63" s="751"/>
      <c r="E63" s="751"/>
      <c r="F63" s="751"/>
      <c r="G63" s="751"/>
      <c r="H63" s="751"/>
      <c r="I63" s="751"/>
      <c r="J63" s="751"/>
      <c r="K63" s="751"/>
      <c r="L63" s="752"/>
      <c r="M63" s="753"/>
      <c r="N63" s="753"/>
      <c r="O63" s="753"/>
      <c r="P63" s="753"/>
      <c r="Q63" s="753"/>
      <c r="R63" s="696"/>
      <c r="S63" s="697"/>
      <c r="T63" s="697"/>
      <c r="U63" s="697"/>
      <c r="V63" s="698"/>
      <c r="W63" s="150"/>
      <c r="X63" s="19"/>
      <c r="Y63" s="19"/>
      <c r="Z63" s="21"/>
      <c r="AA63" s="26"/>
      <c r="AB63" s="444" t="str">
        <f t="shared" si="1"/>
        <v/>
      </c>
      <c r="AC63" s="112" t="str">
        <f>IF(Y63="","",IFERROR(INDEX(【参考】数式用2!$G$3:$I$451,MATCH(W63,【参考】数式用2!$F$3:$F$451,0),MATCH(VLOOKUP(Y63,【参考】数式用2!$J$2:$K$26,2,FALSE),【参考】数式用2!$G$2:$I$2,0)),10))</f>
        <v/>
      </c>
      <c r="AD63" s="445"/>
    </row>
    <row r="64" spans="1:30" ht="37.5" customHeight="1">
      <c r="A64" s="194"/>
      <c r="B64" s="429">
        <f t="shared" si="0"/>
        <v>11</v>
      </c>
      <c r="C64" s="750"/>
      <c r="D64" s="751"/>
      <c r="E64" s="751"/>
      <c r="F64" s="751"/>
      <c r="G64" s="751"/>
      <c r="H64" s="751"/>
      <c r="I64" s="751"/>
      <c r="J64" s="751"/>
      <c r="K64" s="751"/>
      <c r="L64" s="752"/>
      <c r="M64" s="753"/>
      <c r="N64" s="753"/>
      <c r="O64" s="753"/>
      <c r="P64" s="753"/>
      <c r="Q64" s="753"/>
      <c r="R64" s="696"/>
      <c r="S64" s="697"/>
      <c r="T64" s="697"/>
      <c r="U64" s="697"/>
      <c r="V64" s="698"/>
      <c r="W64" s="150"/>
      <c r="X64" s="19"/>
      <c r="Y64" s="19"/>
      <c r="Z64" s="21"/>
      <c r="AA64" s="26"/>
      <c r="AB64" s="444" t="str">
        <f t="shared" si="1"/>
        <v/>
      </c>
      <c r="AC64" s="112" t="str">
        <f>IF(Y64="","",IFERROR(INDEX(【参考】数式用2!$G$3:$I$451,MATCH(W64,【参考】数式用2!$F$3:$F$451,0),MATCH(VLOOKUP(Y64,【参考】数式用2!$J$2:$K$26,2,FALSE),【参考】数式用2!$G$2:$I$2,0)),10))</f>
        <v/>
      </c>
      <c r="AD64" s="445"/>
    </row>
    <row r="65" spans="1:30" ht="37.5" customHeight="1">
      <c r="A65" s="194"/>
      <c r="B65" s="429">
        <f t="shared" si="0"/>
        <v>12</v>
      </c>
      <c r="C65" s="750"/>
      <c r="D65" s="751"/>
      <c r="E65" s="751"/>
      <c r="F65" s="751"/>
      <c r="G65" s="751"/>
      <c r="H65" s="751"/>
      <c r="I65" s="751"/>
      <c r="J65" s="751"/>
      <c r="K65" s="751"/>
      <c r="L65" s="752"/>
      <c r="M65" s="753"/>
      <c r="N65" s="753"/>
      <c r="O65" s="753"/>
      <c r="P65" s="753"/>
      <c r="Q65" s="753"/>
      <c r="R65" s="696"/>
      <c r="S65" s="697"/>
      <c r="T65" s="697"/>
      <c r="U65" s="697"/>
      <c r="V65" s="698"/>
      <c r="W65" s="150"/>
      <c r="X65" s="19"/>
      <c r="Y65" s="19"/>
      <c r="Z65" s="21"/>
      <c r="AA65" s="26"/>
      <c r="AB65" s="444" t="str">
        <f t="shared" si="1"/>
        <v/>
      </c>
      <c r="AC65" s="112" t="str">
        <f>IF(Y65="","",IFERROR(INDEX(【参考】数式用2!$G$3:$I$451,MATCH(W65,【参考】数式用2!$F$3:$F$451,0),MATCH(VLOOKUP(Y65,【参考】数式用2!$J$2:$K$26,2,FALSE),【参考】数式用2!$G$2:$I$2,0)),10))</f>
        <v/>
      </c>
      <c r="AD65" s="445"/>
    </row>
    <row r="66" spans="1:30" ht="37.5" customHeight="1">
      <c r="A66" s="194"/>
      <c r="B66" s="429">
        <f t="shared" si="0"/>
        <v>13</v>
      </c>
      <c r="C66" s="750"/>
      <c r="D66" s="751"/>
      <c r="E66" s="751"/>
      <c r="F66" s="751"/>
      <c r="G66" s="751"/>
      <c r="H66" s="751"/>
      <c r="I66" s="751"/>
      <c r="J66" s="751"/>
      <c r="K66" s="751"/>
      <c r="L66" s="752"/>
      <c r="M66" s="753"/>
      <c r="N66" s="753"/>
      <c r="O66" s="753"/>
      <c r="P66" s="753"/>
      <c r="Q66" s="753"/>
      <c r="R66" s="696"/>
      <c r="S66" s="697"/>
      <c r="T66" s="697"/>
      <c r="U66" s="697"/>
      <c r="V66" s="698"/>
      <c r="W66" s="150"/>
      <c r="X66" s="19"/>
      <c r="Y66" s="19"/>
      <c r="Z66" s="21"/>
      <c r="AA66" s="26"/>
      <c r="AB66" s="444" t="str">
        <f t="shared" si="1"/>
        <v/>
      </c>
      <c r="AC66" s="112" t="str">
        <f>IF(Y66="","",IFERROR(INDEX(【参考】数式用2!$G$3:$I$451,MATCH(W66,【参考】数式用2!$F$3:$F$451,0),MATCH(VLOOKUP(Y66,【参考】数式用2!$J$2:$K$26,2,FALSE),【参考】数式用2!$G$2:$I$2,0)),10))</f>
        <v/>
      </c>
      <c r="AD66" s="445"/>
    </row>
    <row r="67" spans="1:30" ht="37.5" customHeight="1">
      <c r="A67" s="194"/>
      <c r="B67" s="429">
        <f t="shared" si="0"/>
        <v>14</v>
      </c>
      <c r="C67" s="750"/>
      <c r="D67" s="751"/>
      <c r="E67" s="751"/>
      <c r="F67" s="751"/>
      <c r="G67" s="751"/>
      <c r="H67" s="751"/>
      <c r="I67" s="751"/>
      <c r="J67" s="751"/>
      <c r="K67" s="751"/>
      <c r="L67" s="752"/>
      <c r="M67" s="753"/>
      <c r="N67" s="753"/>
      <c r="O67" s="753"/>
      <c r="P67" s="753"/>
      <c r="Q67" s="753"/>
      <c r="R67" s="696"/>
      <c r="S67" s="697"/>
      <c r="T67" s="697"/>
      <c r="U67" s="697"/>
      <c r="V67" s="698"/>
      <c r="W67" s="150"/>
      <c r="X67" s="19"/>
      <c r="Y67" s="19"/>
      <c r="Z67" s="21"/>
      <c r="AA67" s="26"/>
      <c r="AB67" s="444" t="str">
        <f t="shared" si="1"/>
        <v/>
      </c>
      <c r="AC67" s="112" t="str">
        <f>IF(Y67="","",IFERROR(INDEX(【参考】数式用2!$G$3:$I$451,MATCH(W67,【参考】数式用2!$F$3:$F$451,0),MATCH(VLOOKUP(Y67,【参考】数式用2!$J$2:$K$26,2,FALSE),【参考】数式用2!$G$2:$I$2,0)),10))</f>
        <v/>
      </c>
      <c r="AD67" s="445"/>
    </row>
    <row r="68" spans="1:30" ht="37.5" customHeight="1">
      <c r="A68" s="194"/>
      <c r="B68" s="429">
        <f t="shared" si="0"/>
        <v>15</v>
      </c>
      <c r="C68" s="750"/>
      <c r="D68" s="751"/>
      <c r="E68" s="751"/>
      <c r="F68" s="751"/>
      <c r="G68" s="751"/>
      <c r="H68" s="751"/>
      <c r="I68" s="751"/>
      <c r="J68" s="751"/>
      <c r="K68" s="751"/>
      <c r="L68" s="752"/>
      <c r="M68" s="753"/>
      <c r="N68" s="753"/>
      <c r="O68" s="753"/>
      <c r="P68" s="753"/>
      <c r="Q68" s="753"/>
      <c r="R68" s="696"/>
      <c r="S68" s="697"/>
      <c r="T68" s="697"/>
      <c r="U68" s="697"/>
      <c r="V68" s="698"/>
      <c r="W68" s="150"/>
      <c r="X68" s="19"/>
      <c r="Y68" s="19"/>
      <c r="Z68" s="21"/>
      <c r="AA68" s="26"/>
      <c r="AB68" s="444" t="str">
        <f t="shared" si="1"/>
        <v/>
      </c>
      <c r="AC68" s="112" t="str">
        <f>IF(Y68="","",IFERROR(INDEX(【参考】数式用2!$G$3:$I$451,MATCH(W68,【参考】数式用2!$F$3:$F$451,0),MATCH(VLOOKUP(Y68,【参考】数式用2!$J$2:$K$26,2,FALSE),【参考】数式用2!$G$2:$I$2,0)),10))</f>
        <v/>
      </c>
      <c r="AD68" s="445"/>
    </row>
    <row r="69" spans="1:30" ht="37.5" customHeight="1">
      <c r="A69" s="194"/>
      <c r="B69" s="429">
        <f t="shared" si="0"/>
        <v>16</v>
      </c>
      <c r="C69" s="747"/>
      <c r="D69" s="748"/>
      <c r="E69" s="748"/>
      <c r="F69" s="748"/>
      <c r="G69" s="748"/>
      <c r="H69" s="748"/>
      <c r="I69" s="748"/>
      <c r="J69" s="748"/>
      <c r="K69" s="748"/>
      <c r="L69" s="749"/>
      <c r="M69" s="753"/>
      <c r="N69" s="753"/>
      <c r="O69" s="753"/>
      <c r="P69" s="753"/>
      <c r="Q69" s="753"/>
      <c r="R69" s="696"/>
      <c r="S69" s="697"/>
      <c r="T69" s="697"/>
      <c r="U69" s="697"/>
      <c r="V69" s="698"/>
      <c r="W69" s="150"/>
      <c r="X69" s="19"/>
      <c r="Y69" s="19"/>
      <c r="Z69" s="21"/>
      <c r="AA69" s="26"/>
      <c r="AB69" s="444" t="str">
        <f t="shared" si="1"/>
        <v/>
      </c>
      <c r="AC69" s="112" t="str">
        <f>IF(Y69="","",IFERROR(INDEX(【参考】数式用2!$G$3:$I$451,MATCH(W69,【参考】数式用2!$F$3:$F$451,0),MATCH(VLOOKUP(Y69,【参考】数式用2!$J$2:$K$26,2,FALSE),【参考】数式用2!$G$2:$I$2,0)),10))</f>
        <v/>
      </c>
      <c r="AD69" s="445"/>
    </row>
    <row r="70" spans="1:30" ht="37.5" customHeight="1">
      <c r="A70" s="194"/>
      <c r="B70" s="429">
        <f t="shared" si="0"/>
        <v>17</v>
      </c>
      <c r="C70" s="747"/>
      <c r="D70" s="748"/>
      <c r="E70" s="748"/>
      <c r="F70" s="748"/>
      <c r="G70" s="748"/>
      <c r="H70" s="748"/>
      <c r="I70" s="748"/>
      <c r="J70" s="748"/>
      <c r="K70" s="748"/>
      <c r="L70" s="749"/>
      <c r="M70" s="753"/>
      <c r="N70" s="753"/>
      <c r="O70" s="753"/>
      <c r="P70" s="753"/>
      <c r="Q70" s="753"/>
      <c r="R70" s="696"/>
      <c r="S70" s="697"/>
      <c r="T70" s="697"/>
      <c r="U70" s="697"/>
      <c r="V70" s="698"/>
      <c r="W70" s="150"/>
      <c r="X70" s="19"/>
      <c r="Y70" s="19"/>
      <c r="Z70" s="21"/>
      <c r="AA70" s="26"/>
      <c r="AB70" s="444" t="str">
        <f t="shared" si="1"/>
        <v/>
      </c>
      <c r="AC70" s="112" t="str">
        <f>IF(Y70="","",IFERROR(INDEX(【参考】数式用2!$G$3:$I$451,MATCH(W70,【参考】数式用2!$F$3:$F$451,0),MATCH(VLOOKUP(Y70,【参考】数式用2!$J$2:$K$26,2,FALSE),【参考】数式用2!$G$2:$I$2,0)),10))</f>
        <v/>
      </c>
      <c r="AD70" s="445"/>
    </row>
    <row r="71" spans="1:30" ht="37.5" customHeight="1">
      <c r="A71" s="194"/>
      <c r="B71" s="429">
        <f t="shared" si="0"/>
        <v>18</v>
      </c>
      <c r="C71" s="750"/>
      <c r="D71" s="751"/>
      <c r="E71" s="751"/>
      <c r="F71" s="751"/>
      <c r="G71" s="751"/>
      <c r="H71" s="751"/>
      <c r="I71" s="751"/>
      <c r="J71" s="751"/>
      <c r="K71" s="751"/>
      <c r="L71" s="752"/>
      <c r="M71" s="753"/>
      <c r="N71" s="753"/>
      <c r="O71" s="753"/>
      <c r="P71" s="753"/>
      <c r="Q71" s="753"/>
      <c r="R71" s="696"/>
      <c r="S71" s="697"/>
      <c r="T71" s="697"/>
      <c r="U71" s="697"/>
      <c r="V71" s="698"/>
      <c r="W71" s="150"/>
      <c r="X71" s="19"/>
      <c r="Y71" s="19"/>
      <c r="Z71" s="21"/>
      <c r="AA71" s="26"/>
      <c r="AB71" s="444" t="str">
        <f t="shared" si="1"/>
        <v/>
      </c>
      <c r="AC71" s="112" t="str">
        <f>IF(Y71="","",IFERROR(INDEX(【参考】数式用2!$G$3:$I$451,MATCH(W71,【参考】数式用2!$F$3:$F$451,0),MATCH(VLOOKUP(Y71,【参考】数式用2!$J$2:$K$26,2,FALSE),【参考】数式用2!$G$2:$I$2,0)),10))</f>
        <v/>
      </c>
      <c r="AD71" s="445"/>
    </row>
    <row r="72" spans="1:30" ht="37.5" customHeight="1">
      <c r="A72" s="194"/>
      <c r="B72" s="429">
        <f t="shared" si="0"/>
        <v>19</v>
      </c>
      <c r="C72" s="750"/>
      <c r="D72" s="751"/>
      <c r="E72" s="751"/>
      <c r="F72" s="751"/>
      <c r="G72" s="751"/>
      <c r="H72" s="751"/>
      <c r="I72" s="751"/>
      <c r="J72" s="751"/>
      <c r="K72" s="751"/>
      <c r="L72" s="752"/>
      <c r="M72" s="753"/>
      <c r="N72" s="753"/>
      <c r="O72" s="753"/>
      <c r="P72" s="753"/>
      <c r="Q72" s="753"/>
      <c r="R72" s="696"/>
      <c r="S72" s="697"/>
      <c r="T72" s="697"/>
      <c r="U72" s="697"/>
      <c r="V72" s="698"/>
      <c r="W72" s="150"/>
      <c r="X72" s="19"/>
      <c r="Y72" s="19"/>
      <c r="Z72" s="21"/>
      <c r="AA72" s="26"/>
      <c r="AB72" s="444" t="str">
        <f t="shared" si="1"/>
        <v/>
      </c>
      <c r="AC72" s="112" t="str">
        <f>IF(Y72="","",IFERROR(INDEX(【参考】数式用2!$G$3:$I$451,MATCH(W72,【参考】数式用2!$F$3:$F$451,0),MATCH(VLOOKUP(Y72,【参考】数式用2!$J$2:$K$26,2,FALSE),【参考】数式用2!$G$2:$I$2,0)),10))</f>
        <v/>
      </c>
      <c r="AD72" s="445"/>
    </row>
    <row r="73" spans="1:30" ht="37.5" customHeight="1">
      <c r="A73" s="194"/>
      <c r="B73" s="429">
        <f t="shared" si="0"/>
        <v>20</v>
      </c>
      <c r="C73" s="750"/>
      <c r="D73" s="751"/>
      <c r="E73" s="751"/>
      <c r="F73" s="751"/>
      <c r="G73" s="751"/>
      <c r="H73" s="751"/>
      <c r="I73" s="751"/>
      <c r="J73" s="751"/>
      <c r="K73" s="751"/>
      <c r="L73" s="752"/>
      <c r="M73" s="753"/>
      <c r="N73" s="753"/>
      <c r="O73" s="753"/>
      <c r="P73" s="753"/>
      <c r="Q73" s="753"/>
      <c r="R73" s="696"/>
      <c r="S73" s="697"/>
      <c r="T73" s="697"/>
      <c r="U73" s="697"/>
      <c r="V73" s="698"/>
      <c r="W73" s="150"/>
      <c r="X73" s="19"/>
      <c r="Y73" s="19"/>
      <c r="Z73" s="21"/>
      <c r="AA73" s="26"/>
      <c r="AB73" s="444" t="str">
        <f t="shared" si="1"/>
        <v/>
      </c>
      <c r="AC73" s="112" t="str">
        <f>IF(Y73="","",IFERROR(INDEX(【参考】数式用2!$G$3:$I$451,MATCH(W73,【参考】数式用2!$F$3:$F$451,0),MATCH(VLOOKUP(Y73,【参考】数式用2!$J$2:$K$26,2,FALSE),【参考】数式用2!$G$2:$I$2,0)),10))</f>
        <v/>
      </c>
      <c r="AD73" s="445"/>
    </row>
    <row r="74" spans="1:30" ht="37.5" customHeight="1">
      <c r="A74" s="194"/>
      <c r="B74" s="429">
        <f t="shared" si="0"/>
        <v>21</v>
      </c>
      <c r="C74" s="750"/>
      <c r="D74" s="751"/>
      <c r="E74" s="751"/>
      <c r="F74" s="751"/>
      <c r="G74" s="751"/>
      <c r="H74" s="751"/>
      <c r="I74" s="751"/>
      <c r="J74" s="751"/>
      <c r="K74" s="751"/>
      <c r="L74" s="752"/>
      <c r="M74" s="753"/>
      <c r="N74" s="753"/>
      <c r="O74" s="753"/>
      <c r="P74" s="753"/>
      <c r="Q74" s="753"/>
      <c r="R74" s="696"/>
      <c r="S74" s="697"/>
      <c r="T74" s="697"/>
      <c r="U74" s="697"/>
      <c r="V74" s="698"/>
      <c r="W74" s="150"/>
      <c r="X74" s="19"/>
      <c r="Y74" s="19"/>
      <c r="Z74" s="21"/>
      <c r="AA74" s="26"/>
      <c r="AB74" s="444" t="str">
        <f t="shared" si="1"/>
        <v/>
      </c>
      <c r="AC74" s="112" t="str">
        <f>IF(Y74="","",IFERROR(INDEX(【参考】数式用2!$G$3:$I$451,MATCH(W74,【参考】数式用2!$F$3:$F$451,0),MATCH(VLOOKUP(Y74,【参考】数式用2!$J$2:$K$26,2,FALSE),【参考】数式用2!$G$2:$I$2,0)),10))</f>
        <v/>
      </c>
      <c r="AD74" s="445"/>
    </row>
    <row r="75" spans="1:30" ht="37.5" customHeight="1">
      <c r="A75" s="194"/>
      <c r="B75" s="429">
        <f t="shared" si="0"/>
        <v>22</v>
      </c>
      <c r="C75" s="750"/>
      <c r="D75" s="751"/>
      <c r="E75" s="751"/>
      <c r="F75" s="751"/>
      <c r="G75" s="751"/>
      <c r="H75" s="751"/>
      <c r="I75" s="751"/>
      <c r="J75" s="751"/>
      <c r="K75" s="751"/>
      <c r="L75" s="752"/>
      <c r="M75" s="753"/>
      <c r="N75" s="753"/>
      <c r="O75" s="753"/>
      <c r="P75" s="753"/>
      <c r="Q75" s="753"/>
      <c r="R75" s="696"/>
      <c r="S75" s="697"/>
      <c r="T75" s="697"/>
      <c r="U75" s="697"/>
      <c r="V75" s="698"/>
      <c r="W75" s="150"/>
      <c r="X75" s="19"/>
      <c r="Y75" s="19"/>
      <c r="Z75" s="21"/>
      <c r="AA75" s="26"/>
      <c r="AB75" s="444" t="str">
        <f t="shared" si="1"/>
        <v/>
      </c>
      <c r="AC75" s="112" t="str">
        <f>IF(Y75="","",IFERROR(INDEX(【参考】数式用2!$G$3:$I$451,MATCH(W75,【参考】数式用2!$F$3:$F$451,0),MATCH(VLOOKUP(Y75,【参考】数式用2!$J$2:$K$26,2,FALSE),【参考】数式用2!$G$2:$I$2,0)),10))</f>
        <v/>
      </c>
      <c r="AD75" s="445"/>
    </row>
    <row r="76" spans="1:30" ht="37.5" customHeight="1">
      <c r="A76" s="194"/>
      <c r="B76" s="429">
        <f t="shared" si="0"/>
        <v>23</v>
      </c>
      <c r="C76" s="750"/>
      <c r="D76" s="751"/>
      <c r="E76" s="751"/>
      <c r="F76" s="751"/>
      <c r="G76" s="751"/>
      <c r="H76" s="751"/>
      <c r="I76" s="751"/>
      <c r="J76" s="751"/>
      <c r="K76" s="751"/>
      <c r="L76" s="752"/>
      <c r="M76" s="753"/>
      <c r="N76" s="753"/>
      <c r="O76" s="753"/>
      <c r="P76" s="753"/>
      <c r="Q76" s="753"/>
      <c r="R76" s="696"/>
      <c r="S76" s="697"/>
      <c r="T76" s="697"/>
      <c r="U76" s="697"/>
      <c r="V76" s="698"/>
      <c r="W76" s="150"/>
      <c r="X76" s="19"/>
      <c r="Y76" s="19"/>
      <c r="Z76" s="21"/>
      <c r="AA76" s="26"/>
      <c r="AB76" s="444" t="str">
        <f t="shared" si="1"/>
        <v/>
      </c>
      <c r="AC76" s="112" t="str">
        <f>IF(Y76="","",IFERROR(INDEX(【参考】数式用2!$G$3:$I$451,MATCH(W76,【参考】数式用2!$F$3:$F$451,0),MATCH(VLOOKUP(Y76,【参考】数式用2!$J$2:$K$26,2,FALSE),【参考】数式用2!$G$2:$I$2,0)),10))</f>
        <v/>
      </c>
      <c r="AD76" s="445"/>
    </row>
    <row r="77" spans="1:30" ht="37.5" customHeight="1">
      <c r="A77" s="194"/>
      <c r="B77" s="429">
        <f t="shared" si="0"/>
        <v>24</v>
      </c>
      <c r="C77" s="750"/>
      <c r="D77" s="751"/>
      <c r="E77" s="751"/>
      <c r="F77" s="751"/>
      <c r="G77" s="751"/>
      <c r="H77" s="751"/>
      <c r="I77" s="751"/>
      <c r="J77" s="751"/>
      <c r="K77" s="751"/>
      <c r="L77" s="752"/>
      <c r="M77" s="753"/>
      <c r="N77" s="753"/>
      <c r="O77" s="753"/>
      <c r="P77" s="753"/>
      <c r="Q77" s="753"/>
      <c r="R77" s="696"/>
      <c r="S77" s="697"/>
      <c r="T77" s="697"/>
      <c r="U77" s="697"/>
      <c r="V77" s="698"/>
      <c r="W77" s="150"/>
      <c r="X77" s="19"/>
      <c r="Y77" s="19"/>
      <c r="Z77" s="21"/>
      <c r="AA77" s="26"/>
      <c r="AB77" s="444" t="str">
        <f t="shared" si="1"/>
        <v/>
      </c>
      <c r="AC77" s="112" t="str">
        <f>IF(Y77="","",IFERROR(INDEX(【参考】数式用2!$G$3:$I$451,MATCH(W77,【参考】数式用2!$F$3:$F$451,0),MATCH(VLOOKUP(Y77,【参考】数式用2!$J$2:$K$26,2,FALSE),【参考】数式用2!$G$2:$I$2,0)),10))</f>
        <v/>
      </c>
      <c r="AD77" s="445"/>
    </row>
    <row r="78" spans="1:30" ht="37.5" customHeight="1">
      <c r="A78" s="194"/>
      <c r="B78" s="429">
        <f t="shared" si="0"/>
        <v>25</v>
      </c>
      <c r="C78" s="750"/>
      <c r="D78" s="751"/>
      <c r="E78" s="751"/>
      <c r="F78" s="751"/>
      <c r="G78" s="751"/>
      <c r="H78" s="751"/>
      <c r="I78" s="751"/>
      <c r="J78" s="751"/>
      <c r="K78" s="751"/>
      <c r="L78" s="752"/>
      <c r="M78" s="753"/>
      <c r="N78" s="753"/>
      <c r="O78" s="753"/>
      <c r="P78" s="753"/>
      <c r="Q78" s="753"/>
      <c r="R78" s="696"/>
      <c r="S78" s="697"/>
      <c r="T78" s="697"/>
      <c r="U78" s="697"/>
      <c r="V78" s="698"/>
      <c r="W78" s="150"/>
      <c r="X78" s="19"/>
      <c r="Y78" s="19"/>
      <c r="Z78" s="21"/>
      <c r="AA78" s="26"/>
      <c r="AB78" s="444" t="str">
        <f t="shared" si="1"/>
        <v/>
      </c>
      <c r="AC78" s="112" t="str">
        <f>IF(Y78="","",IFERROR(INDEX(【参考】数式用2!$G$3:$I$451,MATCH(W78,【参考】数式用2!$F$3:$F$451,0),MATCH(VLOOKUP(Y78,【参考】数式用2!$J$2:$K$26,2,FALSE),【参考】数式用2!$G$2:$I$2,0)),10))</f>
        <v/>
      </c>
      <c r="AD78" s="445"/>
    </row>
    <row r="79" spans="1:30" ht="37.5" customHeight="1">
      <c r="A79" s="194"/>
      <c r="B79" s="429">
        <f t="shared" si="0"/>
        <v>26</v>
      </c>
      <c r="C79" s="750"/>
      <c r="D79" s="751"/>
      <c r="E79" s="751"/>
      <c r="F79" s="751"/>
      <c r="G79" s="751"/>
      <c r="H79" s="751"/>
      <c r="I79" s="751"/>
      <c r="J79" s="751"/>
      <c r="K79" s="751"/>
      <c r="L79" s="752"/>
      <c r="M79" s="753"/>
      <c r="N79" s="753"/>
      <c r="O79" s="753"/>
      <c r="P79" s="753"/>
      <c r="Q79" s="753"/>
      <c r="R79" s="696"/>
      <c r="S79" s="697"/>
      <c r="T79" s="697"/>
      <c r="U79" s="697"/>
      <c r="V79" s="698"/>
      <c r="W79" s="150"/>
      <c r="X79" s="19"/>
      <c r="Y79" s="19"/>
      <c r="Z79" s="21"/>
      <c r="AA79" s="26"/>
      <c r="AB79" s="444" t="str">
        <f t="shared" si="1"/>
        <v/>
      </c>
      <c r="AC79" s="112" t="str">
        <f>IF(Y79="","",IFERROR(INDEX(【参考】数式用2!$G$3:$I$451,MATCH(W79,【参考】数式用2!$F$3:$F$451,0),MATCH(VLOOKUP(Y79,【参考】数式用2!$J$2:$K$26,2,FALSE),【参考】数式用2!$G$2:$I$2,0)),10))</f>
        <v/>
      </c>
      <c r="AD79" s="445"/>
    </row>
    <row r="80" spans="1:30" ht="37.5" customHeight="1">
      <c r="A80" s="194"/>
      <c r="B80" s="429">
        <f t="shared" si="0"/>
        <v>27</v>
      </c>
      <c r="C80" s="750"/>
      <c r="D80" s="751"/>
      <c r="E80" s="751"/>
      <c r="F80" s="751"/>
      <c r="G80" s="751"/>
      <c r="H80" s="751"/>
      <c r="I80" s="751"/>
      <c r="J80" s="751"/>
      <c r="K80" s="751"/>
      <c r="L80" s="752"/>
      <c r="M80" s="753"/>
      <c r="N80" s="753"/>
      <c r="O80" s="753"/>
      <c r="P80" s="753"/>
      <c r="Q80" s="753"/>
      <c r="R80" s="696"/>
      <c r="S80" s="697"/>
      <c r="T80" s="697"/>
      <c r="U80" s="697"/>
      <c r="V80" s="698"/>
      <c r="W80" s="150"/>
      <c r="X80" s="19"/>
      <c r="Y80" s="19"/>
      <c r="Z80" s="21"/>
      <c r="AA80" s="26"/>
      <c r="AB80" s="444" t="str">
        <f t="shared" si="1"/>
        <v/>
      </c>
      <c r="AC80" s="112" t="str">
        <f>IF(Y80="","",IFERROR(INDEX(【参考】数式用2!$G$3:$I$451,MATCH(W80,【参考】数式用2!$F$3:$F$451,0),MATCH(VLOOKUP(Y80,【参考】数式用2!$J$2:$K$26,2,FALSE),【参考】数式用2!$G$2:$I$2,0)),10))</f>
        <v/>
      </c>
      <c r="AD80" s="445"/>
    </row>
    <row r="81" spans="1:30" ht="37.5" customHeight="1">
      <c r="A81" s="194"/>
      <c r="B81" s="429">
        <f t="shared" si="0"/>
        <v>28</v>
      </c>
      <c r="C81" s="750"/>
      <c r="D81" s="751"/>
      <c r="E81" s="751"/>
      <c r="F81" s="751"/>
      <c r="G81" s="751"/>
      <c r="H81" s="751"/>
      <c r="I81" s="751"/>
      <c r="J81" s="751"/>
      <c r="K81" s="751"/>
      <c r="L81" s="752"/>
      <c r="M81" s="753"/>
      <c r="N81" s="753"/>
      <c r="O81" s="753"/>
      <c r="P81" s="753"/>
      <c r="Q81" s="753"/>
      <c r="R81" s="696"/>
      <c r="S81" s="697"/>
      <c r="T81" s="697"/>
      <c r="U81" s="697"/>
      <c r="V81" s="698"/>
      <c r="W81" s="150"/>
      <c r="X81" s="19"/>
      <c r="Y81" s="19"/>
      <c r="Z81" s="21"/>
      <c r="AA81" s="26"/>
      <c r="AB81" s="444" t="str">
        <f t="shared" si="1"/>
        <v/>
      </c>
      <c r="AC81" s="112" t="str">
        <f>IF(Y81="","",IFERROR(INDEX(【参考】数式用2!$G$3:$I$451,MATCH(W81,【参考】数式用2!$F$3:$F$451,0),MATCH(VLOOKUP(Y81,【参考】数式用2!$J$2:$K$26,2,FALSE),【参考】数式用2!$G$2:$I$2,0)),10))</f>
        <v/>
      </c>
      <c r="AD81" s="445"/>
    </row>
    <row r="82" spans="1:30" ht="37.5" customHeight="1">
      <c r="A82" s="194"/>
      <c r="B82" s="429">
        <f t="shared" si="0"/>
        <v>29</v>
      </c>
      <c r="C82" s="750"/>
      <c r="D82" s="751"/>
      <c r="E82" s="751"/>
      <c r="F82" s="751"/>
      <c r="G82" s="751"/>
      <c r="H82" s="751"/>
      <c r="I82" s="751"/>
      <c r="J82" s="751"/>
      <c r="K82" s="751"/>
      <c r="L82" s="752"/>
      <c r="M82" s="753"/>
      <c r="N82" s="753"/>
      <c r="O82" s="753"/>
      <c r="P82" s="753"/>
      <c r="Q82" s="753"/>
      <c r="R82" s="696"/>
      <c r="S82" s="697"/>
      <c r="T82" s="697"/>
      <c r="U82" s="697"/>
      <c r="V82" s="698"/>
      <c r="W82" s="150"/>
      <c r="X82" s="19"/>
      <c r="Y82" s="19"/>
      <c r="Z82" s="21"/>
      <c r="AA82" s="26"/>
      <c r="AB82" s="444" t="str">
        <f t="shared" si="1"/>
        <v/>
      </c>
      <c r="AC82" s="112" t="str">
        <f>IF(Y82="","",IFERROR(INDEX(【参考】数式用2!$G$3:$I$451,MATCH(W82,【参考】数式用2!$F$3:$F$451,0),MATCH(VLOOKUP(Y82,【参考】数式用2!$J$2:$K$26,2,FALSE),【参考】数式用2!$G$2:$I$2,0)),10))</f>
        <v/>
      </c>
      <c r="AD82" s="445"/>
    </row>
    <row r="83" spans="1:30" ht="37.5" customHeight="1">
      <c r="A83" s="194"/>
      <c r="B83" s="429">
        <f t="shared" si="0"/>
        <v>30</v>
      </c>
      <c r="C83" s="750"/>
      <c r="D83" s="751"/>
      <c r="E83" s="751"/>
      <c r="F83" s="751"/>
      <c r="G83" s="751"/>
      <c r="H83" s="751"/>
      <c r="I83" s="751"/>
      <c r="J83" s="751"/>
      <c r="K83" s="751"/>
      <c r="L83" s="752"/>
      <c r="M83" s="753"/>
      <c r="N83" s="753"/>
      <c r="O83" s="753"/>
      <c r="P83" s="753"/>
      <c r="Q83" s="753"/>
      <c r="R83" s="696"/>
      <c r="S83" s="697"/>
      <c r="T83" s="697"/>
      <c r="U83" s="697"/>
      <c r="V83" s="698"/>
      <c r="W83" s="150"/>
      <c r="X83" s="19"/>
      <c r="Y83" s="19"/>
      <c r="Z83" s="21"/>
      <c r="AA83" s="26"/>
      <c r="AB83" s="444" t="str">
        <f t="shared" si="1"/>
        <v/>
      </c>
      <c r="AC83" s="112" t="str">
        <f>IF(Y83="","",IFERROR(INDEX(【参考】数式用2!$G$3:$I$451,MATCH(W83,【参考】数式用2!$F$3:$F$451,0),MATCH(VLOOKUP(Y83,【参考】数式用2!$J$2:$K$26,2,FALSE),【参考】数式用2!$G$2:$I$2,0)),10))</f>
        <v/>
      </c>
      <c r="AD83" s="445"/>
    </row>
    <row r="84" spans="1:30" ht="37.5" customHeight="1">
      <c r="A84" s="194"/>
      <c r="B84" s="429">
        <f t="shared" si="0"/>
        <v>31</v>
      </c>
      <c r="C84" s="750"/>
      <c r="D84" s="751"/>
      <c r="E84" s="751"/>
      <c r="F84" s="751"/>
      <c r="G84" s="751"/>
      <c r="H84" s="751"/>
      <c r="I84" s="751"/>
      <c r="J84" s="751"/>
      <c r="K84" s="751"/>
      <c r="L84" s="752"/>
      <c r="M84" s="753"/>
      <c r="N84" s="753"/>
      <c r="O84" s="753"/>
      <c r="P84" s="753"/>
      <c r="Q84" s="753"/>
      <c r="R84" s="696"/>
      <c r="S84" s="697"/>
      <c r="T84" s="697"/>
      <c r="U84" s="697"/>
      <c r="V84" s="698"/>
      <c r="W84" s="150"/>
      <c r="X84" s="19"/>
      <c r="Y84" s="19"/>
      <c r="Z84" s="21"/>
      <c r="AA84" s="26"/>
      <c r="AB84" s="444" t="str">
        <f t="shared" si="1"/>
        <v/>
      </c>
      <c r="AC84" s="112" t="str">
        <f>IF(Y84="","",IFERROR(INDEX(【参考】数式用2!$G$3:$I$451,MATCH(W84,【参考】数式用2!$F$3:$F$451,0),MATCH(VLOOKUP(Y84,【参考】数式用2!$J$2:$K$26,2,FALSE),【参考】数式用2!$G$2:$I$2,0)),10))</f>
        <v/>
      </c>
      <c r="AD84" s="445"/>
    </row>
    <row r="85" spans="1:30" ht="37.5" customHeight="1">
      <c r="A85" s="194"/>
      <c r="B85" s="429">
        <f t="shared" si="0"/>
        <v>32</v>
      </c>
      <c r="C85" s="750"/>
      <c r="D85" s="751"/>
      <c r="E85" s="751"/>
      <c r="F85" s="751"/>
      <c r="G85" s="751"/>
      <c r="H85" s="751"/>
      <c r="I85" s="751"/>
      <c r="J85" s="751"/>
      <c r="K85" s="751"/>
      <c r="L85" s="752"/>
      <c r="M85" s="753"/>
      <c r="N85" s="753"/>
      <c r="O85" s="753"/>
      <c r="P85" s="753"/>
      <c r="Q85" s="753"/>
      <c r="R85" s="696"/>
      <c r="S85" s="697"/>
      <c r="T85" s="697"/>
      <c r="U85" s="697"/>
      <c r="V85" s="698"/>
      <c r="W85" s="150"/>
      <c r="X85" s="19"/>
      <c r="Y85" s="19"/>
      <c r="Z85" s="21"/>
      <c r="AA85" s="26"/>
      <c r="AB85" s="444" t="str">
        <f t="shared" si="1"/>
        <v/>
      </c>
      <c r="AC85" s="112" t="str">
        <f>IF(Y85="","",IFERROR(INDEX(【参考】数式用2!$G$3:$I$451,MATCH(W85,【参考】数式用2!$F$3:$F$451,0),MATCH(VLOOKUP(Y85,【参考】数式用2!$J$2:$K$26,2,FALSE),【参考】数式用2!$G$2:$I$2,0)),10))</f>
        <v/>
      </c>
      <c r="AD85" s="445"/>
    </row>
    <row r="86" spans="1:30" ht="37.5" customHeight="1">
      <c r="A86" s="194"/>
      <c r="B86" s="429">
        <f t="shared" si="0"/>
        <v>33</v>
      </c>
      <c r="C86" s="750"/>
      <c r="D86" s="751"/>
      <c r="E86" s="751"/>
      <c r="F86" s="751"/>
      <c r="G86" s="751"/>
      <c r="H86" s="751"/>
      <c r="I86" s="751"/>
      <c r="J86" s="751"/>
      <c r="K86" s="751"/>
      <c r="L86" s="752"/>
      <c r="M86" s="753"/>
      <c r="N86" s="753"/>
      <c r="O86" s="753"/>
      <c r="P86" s="753"/>
      <c r="Q86" s="753"/>
      <c r="R86" s="696"/>
      <c r="S86" s="697"/>
      <c r="T86" s="697"/>
      <c r="U86" s="697"/>
      <c r="V86" s="698"/>
      <c r="W86" s="150"/>
      <c r="X86" s="19"/>
      <c r="Y86" s="19"/>
      <c r="Z86" s="21"/>
      <c r="AA86" s="26"/>
      <c r="AB86" s="444" t="str">
        <f t="shared" si="1"/>
        <v/>
      </c>
      <c r="AC86" s="112" t="str">
        <f>IF(Y86="","",IFERROR(INDEX(【参考】数式用2!$G$3:$I$451,MATCH(W86,【参考】数式用2!$F$3:$F$451,0),MATCH(VLOOKUP(Y86,【参考】数式用2!$J$2:$K$26,2,FALSE),【参考】数式用2!$G$2:$I$2,0)),10))</f>
        <v/>
      </c>
      <c r="AD86" s="445"/>
    </row>
    <row r="87" spans="1:30" ht="37.5" customHeight="1">
      <c r="A87" s="194"/>
      <c r="B87" s="429">
        <f t="shared" si="0"/>
        <v>34</v>
      </c>
      <c r="C87" s="750"/>
      <c r="D87" s="751"/>
      <c r="E87" s="751"/>
      <c r="F87" s="751"/>
      <c r="G87" s="751"/>
      <c r="H87" s="751"/>
      <c r="I87" s="751"/>
      <c r="J87" s="751"/>
      <c r="K87" s="751"/>
      <c r="L87" s="752"/>
      <c r="M87" s="753"/>
      <c r="N87" s="753"/>
      <c r="O87" s="753"/>
      <c r="P87" s="753"/>
      <c r="Q87" s="753"/>
      <c r="R87" s="696"/>
      <c r="S87" s="697"/>
      <c r="T87" s="697"/>
      <c r="U87" s="697"/>
      <c r="V87" s="698"/>
      <c r="W87" s="150"/>
      <c r="X87" s="19"/>
      <c r="Y87" s="19"/>
      <c r="Z87" s="21"/>
      <c r="AA87" s="26"/>
      <c r="AB87" s="444" t="str">
        <f t="shared" si="1"/>
        <v/>
      </c>
      <c r="AC87" s="112" t="str">
        <f>IF(Y87="","",IFERROR(INDEX(【参考】数式用2!$G$3:$I$451,MATCH(W87,【参考】数式用2!$F$3:$F$451,0),MATCH(VLOOKUP(Y87,【参考】数式用2!$J$2:$K$26,2,FALSE),【参考】数式用2!$G$2:$I$2,0)),10))</f>
        <v/>
      </c>
      <c r="AD87" s="445"/>
    </row>
    <row r="88" spans="1:30" ht="37.5" customHeight="1">
      <c r="A88" s="194"/>
      <c r="B88" s="429">
        <f t="shared" si="0"/>
        <v>35</v>
      </c>
      <c r="C88" s="750"/>
      <c r="D88" s="751"/>
      <c r="E88" s="751"/>
      <c r="F88" s="751"/>
      <c r="G88" s="751"/>
      <c r="H88" s="751"/>
      <c r="I88" s="751"/>
      <c r="J88" s="751"/>
      <c r="K88" s="751"/>
      <c r="L88" s="752"/>
      <c r="M88" s="753"/>
      <c r="N88" s="753"/>
      <c r="O88" s="753"/>
      <c r="P88" s="753"/>
      <c r="Q88" s="753"/>
      <c r="R88" s="696"/>
      <c r="S88" s="697"/>
      <c r="T88" s="697"/>
      <c r="U88" s="697"/>
      <c r="V88" s="698"/>
      <c r="W88" s="150"/>
      <c r="X88" s="19"/>
      <c r="Y88" s="19"/>
      <c r="Z88" s="21"/>
      <c r="AA88" s="26"/>
      <c r="AB88" s="444" t="str">
        <f t="shared" si="1"/>
        <v/>
      </c>
      <c r="AC88" s="112" t="str">
        <f>IF(Y88="","",IFERROR(INDEX(【参考】数式用2!$G$3:$I$451,MATCH(W88,【参考】数式用2!$F$3:$F$451,0),MATCH(VLOOKUP(Y88,【参考】数式用2!$J$2:$K$26,2,FALSE),【参考】数式用2!$G$2:$I$2,0)),10))</f>
        <v/>
      </c>
      <c r="AD88" s="445"/>
    </row>
    <row r="89" spans="1:30" ht="37.5" customHeight="1">
      <c r="A89" s="194"/>
      <c r="B89" s="429">
        <f t="shared" si="0"/>
        <v>36</v>
      </c>
      <c r="C89" s="750"/>
      <c r="D89" s="751"/>
      <c r="E89" s="751"/>
      <c r="F89" s="751"/>
      <c r="G89" s="751"/>
      <c r="H89" s="751"/>
      <c r="I89" s="751"/>
      <c r="J89" s="751"/>
      <c r="K89" s="751"/>
      <c r="L89" s="752"/>
      <c r="M89" s="753"/>
      <c r="N89" s="753"/>
      <c r="O89" s="753"/>
      <c r="P89" s="753"/>
      <c r="Q89" s="753"/>
      <c r="R89" s="696"/>
      <c r="S89" s="697"/>
      <c r="T89" s="697"/>
      <c r="U89" s="697"/>
      <c r="V89" s="698"/>
      <c r="W89" s="150"/>
      <c r="X89" s="19"/>
      <c r="Y89" s="19"/>
      <c r="Z89" s="21"/>
      <c r="AA89" s="26"/>
      <c r="AB89" s="444" t="str">
        <f t="shared" si="1"/>
        <v/>
      </c>
      <c r="AC89" s="112" t="str">
        <f>IF(Y89="","",IFERROR(INDEX(【参考】数式用2!$G$3:$I$451,MATCH(W89,【参考】数式用2!$F$3:$F$451,0),MATCH(VLOOKUP(Y89,【参考】数式用2!$J$2:$K$26,2,FALSE),【参考】数式用2!$G$2:$I$2,0)),10))</f>
        <v/>
      </c>
      <c r="AD89" s="445"/>
    </row>
    <row r="90" spans="1:30" ht="37.5" customHeight="1">
      <c r="A90" s="194"/>
      <c r="B90" s="429">
        <f t="shared" si="0"/>
        <v>37</v>
      </c>
      <c r="C90" s="750"/>
      <c r="D90" s="751"/>
      <c r="E90" s="751"/>
      <c r="F90" s="751"/>
      <c r="G90" s="751"/>
      <c r="H90" s="751"/>
      <c r="I90" s="751"/>
      <c r="J90" s="751"/>
      <c r="K90" s="751"/>
      <c r="L90" s="752"/>
      <c r="M90" s="753"/>
      <c r="N90" s="753"/>
      <c r="O90" s="753"/>
      <c r="P90" s="753"/>
      <c r="Q90" s="753"/>
      <c r="R90" s="696"/>
      <c r="S90" s="697"/>
      <c r="T90" s="697"/>
      <c r="U90" s="697"/>
      <c r="V90" s="698"/>
      <c r="W90" s="150"/>
      <c r="X90" s="19"/>
      <c r="Y90" s="19"/>
      <c r="Z90" s="21"/>
      <c r="AA90" s="26"/>
      <c r="AB90" s="444" t="str">
        <f t="shared" si="1"/>
        <v/>
      </c>
      <c r="AC90" s="112" t="str">
        <f>IF(Y90="","",IFERROR(INDEX(【参考】数式用2!$G$3:$I$451,MATCH(W90,【参考】数式用2!$F$3:$F$451,0),MATCH(VLOOKUP(Y90,【参考】数式用2!$J$2:$K$26,2,FALSE),【参考】数式用2!$G$2:$I$2,0)),10))</f>
        <v/>
      </c>
      <c r="AD90" s="445"/>
    </row>
    <row r="91" spans="1:30" ht="37.5" customHeight="1">
      <c r="A91" s="194"/>
      <c r="B91" s="429">
        <f t="shared" si="0"/>
        <v>38</v>
      </c>
      <c r="C91" s="750"/>
      <c r="D91" s="751"/>
      <c r="E91" s="751"/>
      <c r="F91" s="751"/>
      <c r="G91" s="751"/>
      <c r="H91" s="751"/>
      <c r="I91" s="751"/>
      <c r="J91" s="751"/>
      <c r="K91" s="751"/>
      <c r="L91" s="752"/>
      <c r="M91" s="753"/>
      <c r="N91" s="753"/>
      <c r="O91" s="753"/>
      <c r="P91" s="753"/>
      <c r="Q91" s="753"/>
      <c r="R91" s="696"/>
      <c r="S91" s="697"/>
      <c r="T91" s="697"/>
      <c r="U91" s="697"/>
      <c r="V91" s="698"/>
      <c r="W91" s="150"/>
      <c r="X91" s="19"/>
      <c r="Y91" s="19"/>
      <c r="Z91" s="21"/>
      <c r="AA91" s="26"/>
      <c r="AB91" s="444" t="str">
        <f t="shared" si="1"/>
        <v/>
      </c>
      <c r="AC91" s="112" t="str">
        <f>IF(Y91="","",IFERROR(INDEX(【参考】数式用2!$G$3:$I$451,MATCH(W91,【参考】数式用2!$F$3:$F$451,0),MATCH(VLOOKUP(Y91,【参考】数式用2!$J$2:$K$26,2,FALSE),【参考】数式用2!$G$2:$I$2,0)),10))</f>
        <v/>
      </c>
      <c r="AD91" s="445"/>
    </row>
    <row r="92" spans="1:30" ht="37.5" customHeight="1">
      <c r="A92" s="194"/>
      <c r="B92" s="429">
        <f t="shared" si="0"/>
        <v>39</v>
      </c>
      <c r="C92" s="750"/>
      <c r="D92" s="751"/>
      <c r="E92" s="751"/>
      <c r="F92" s="751"/>
      <c r="G92" s="751"/>
      <c r="H92" s="751"/>
      <c r="I92" s="751"/>
      <c r="J92" s="751"/>
      <c r="K92" s="751"/>
      <c r="L92" s="752"/>
      <c r="M92" s="753"/>
      <c r="N92" s="753"/>
      <c r="O92" s="753"/>
      <c r="P92" s="753"/>
      <c r="Q92" s="753"/>
      <c r="R92" s="696"/>
      <c r="S92" s="697"/>
      <c r="T92" s="697"/>
      <c r="U92" s="697"/>
      <c r="V92" s="698"/>
      <c r="W92" s="150"/>
      <c r="X92" s="19"/>
      <c r="Y92" s="19"/>
      <c r="Z92" s="21"/>
      <c r="AA92" s="26"/>
      <c r="AB92" s="444" t="str">
        <f t="shared" si="1"/>
        <v/>
      </c>
      <c r="AC92" s="112" t="str">
        <f>IF(Y92="","",IFERROR(INDEX(【参考】数式用2!$G$3:$I$451,MATCH(W92,【参考】数式用2!$F$3:$F$451,0),MATCH(VLOOKUP(Y92,【参考】数式用2!$J$2:$K$26,2,FALSE),【参考】数式用2!$G$2:$I$2,0)),10))</f>
        <v/>
      </c>
      <c r="AD92" s="445"/>
    </row>
    <row r="93" spans="1:30" ht="37.5" customHeight="1">
      <c r="A93" s="194"/>
      <c r="B93" s="429">
        <f t="shared" ref="B93:B119" si="2">B92+1</f>
        <v>40</v>
      </c>
      <c r="C93" s="750"/>
      <c r="D93" s="751"/>
      <c r="E93" s="751"/>
      <c r="F93" s="751"/>
      <c r="G93" s="751"/>
      <c r="H93" s="751"/>
      <c r="I93" s="751"/>
      <c r="J93" s="751"/>
      <c r="K93" s="751"/>
      <c r="L93" s="752"/>
      <c r="M93" s="753"/>
      <c r="N93" s="753"/>
      <c r="O93" s="753"/>
      <c r="P93" s="753"/>
      <c r="Q93" s="753"/>
      <c r="R93" s="696"/>
      <c r="S93" s="697"/>
      <c r="T93" s="697"/>
      <c r="U93" s="697"/>
      <c r="V93" s="698"/>
      <c r="W93" s="150"/>
      <c r="X93" s="19"/>
      <c r="Y93" s="19"/>
      <c r="Z93" s="21"/>
      <c r="AA93" s="26"/>
      <c r="AB93" s="444" t="str">
        <f t="shared" si="1"/>
        <v/>
      </c>
      <c r="AC93" s="112" t="str">
        <f>IF(Y93="","",IFERROR(INDEX(【参考】数式用2!$G$3:$I$451,MATCH(W93,【参考】数式用2!$F$3:$F$451,0),MATCH(VLOOKUP(Y93,【参考】数式用2!$J$2:$K$26,2,FALSE),【参考】数式用2!$G$2:$I$2,0)),10))</f>
        <v/>
      </c>
      <c r="AD93" s="445"/>
    </row>
    <row r="94" spans="1:30" ht="37.5" customHeight="1">
      <c r="A94" s="194"/>
      <c r="B94" s="429">
        <f t="shared" si="2"/>
        <v>41</v>
      </c>
      <c r="C94" s="750"/>
      <c r="D94" s="751"/>
      <c r="E94" s="751"/>
      <c r="F94" s="751"/>
      <c r="G94" s="751"/>
      <c r="H94" s="751"/>
      <c r="I94" s="751"/>
      <c r="J94" s="751"/>
      <c r="K94" s="751"/>
      <c r="L94" s="752"/>
      <c r="M94" s="753"/>
      <c r="N94" s="753"/>
      <c r="O94" s="753"/>
      <c r="P94" s="753"/>
      <c r="Q94" s="753"/>
      <c r="R94" s="696"/>
      <c r="S94" s="697"/>
      <c r="T94" s="697"/>
      <c r="U94" s="697"/>
      <c r="V94" s="698"/>
      <c r="W94" s="150"/>
      <c r="X94" s="19"/>
      <c r="Y94" s="19"/>
      <c r="Z94" s="21"/>
      <c r="AA94" s="26"/>
      <c r="AB94" s="444" t="str">
        <f t="shared" si="1"/>
        <v/>
      </c>
      <c r="AC94" s="112" t="str">
        <f>IF(Y94="","",IFERROR(INDEX(【参考】数式用2!$G$3:$I$451,MATCH(W94,【参考】数式用2!$F$3:$F$451,0),MATCH(VLOOKUP(Y94,【参考】数式用2!$J$2:$K$26,2,FALSE),【参考】数式用2!$G$2:$I$2,0)),10))</f>
        <v/>
      </c>
      <c r="AD94" s="445"/>
    </row>
    <row r="95" spans="1:30" ht="37.5" customHeight="1">
      <c r="A95" s="194"/>
      <c r="B95" s="429">
        <f t="shared" si="2"/>
        <v>42</v>
      </c>
      <c r="C95" s="750"/>
      <c r="D95" s="751"/>
      <c r="E95" s="751"/>
      <c r="F95" s="751"/>
      <c r="G95" s="751"/>
      <c r="H95" s="751"/>
      <c r="I95" s="751"/>
      <c r="J95" s="751"/>
      <c r="K95" s="751"/>
      <c r="L95" s="752"/>
      <c r="M95" s="753"/>
      <c r="N95" s="753"/>
      <c r="O95" s="753"/>
      <c r="P95" s="753"/>
      <c r="Q95" s="753"/>
      <c r="R95" s="696"/>
      <c r="S95" s="697"/>
      <c r="T95" s="697"/>
      <c r="U95" s="697"/>
      <c r="V95" s="698"/>
      <c r="W95" s="150"/>
      <c r="X95" s="19"/>
      <c r="Y95" s="19"/>
      <c r="Z95" s="21"/>
      <c r="AA95" s="26"/>
      <c r="AB95" s="444" t="str">
        <f t="shared" si="1"/>
        <v/>
      </c>
      <c r="AC95" s="112" t="str">
        <f>IF(Y95="","",IFERROR(INDEX(【参考】数式用2!$G$3:$I$451,MATCH(W95,【参考】数式用2!$F$3:$F$451,0),MATCH(VLOOKUP(Y95,【参考】数式用2!$J$2:$K$26,2,FALSE),【参考】数式用2!$G$2:$I$2,0)),10))</f>
        <v/>
      </c>
      <c r="AD95" s="445"/>
    </row>
    <row r="96" spans="1:30" ht="37.5" customHeight="1">
      <c r="A96" s="194"/>
      <c r="B96" s="429">
        <f t="shared" si="2"/>
        <v>43</v>
      </c>
      <c r="C96" s="750"/>
      <c r="D96" s="751"/>
      <c r="E96" s="751"/>
      <c r="F96" s="751"/>
      <c r="G96" s="751"/>
      <c r="H96" s="751"/>
      <c r="I96" s="751"/>
      <c r="J96" s="751"/>
      <c r="K96" s="751"/>
      <c r="L96" s="752"/>
      <c r="M96" s="753"/>
      <c r="N96" s="753"/>
      <c r="O96" s="753"/>
      <c r="P96" s="753"/>
      <c r="Q96" s="753"/>
      <c r="R96" s="696"/>
      <c r="S96" s="697"/>
      <c r="T96" s="697"/>
      <c r="U96" s="697"/>
      <c r="V96" s="698"/>
      <c r="W96" s="150"/>
      <c r="X96" s="19"/>
      <c r="Y96" s="19"/>
      <c r="Z96" s="21"/>
      <c r="AA96" s="26"/>
      <c r="AB96" s="444" t="str">
        <f t="shared" si="1"/>
        <v/>
      </c>
      <c r="AC96" s="112" t="str">
        <f>IF(Y96="","",IFERROR(INDEX(【参考】数式用2!$G$3:$I$451,MATCH(W96,【参考】数式用2!$F$3:$F$451,0),MATCH(VLOOKUP(Y96,【参考】数式用2!$J$2:$K$26,2,FALSE),【参考】数式用2!$G$2:$I$2,0)),10))</f>
        <v/>
      </c>
      <c r="AD96" s="445"/>
    </row>
    <row r="97" spans="1:30" ht="37.5" customHeight="1">
      <c r="A97" s="194"/>
      <c r="B97" s="429">
        <f t="shared" si="2"/>
        <v>44</v>
      </c>
      <c r="C97" s="750"/>
      <c r="D97" s="751"/>
      <c r="E97" s="751"/>
      <c r="F97" s="751"/>
      <c r="G97" s="751"/>
      <c r="H97" s="751"/>
      <c r="I97" s="751"/>
      <c r="J97" s="751"/>
      <c r="K97" s="751"/>
      <c r="L97" s="752"/>
      <c r="M97" s="753"/>
      <c r="N97" s="753"/>
      <c r="O97" s="753"/>
      <c r="P97" s="753"/>
      <c r="Q97" s="753"/>
      <c r="R97" s="696"/>
      <c r="S97" s="697"/>
      <c r="T97" s="697"/>
      <c r="U97" s="697"/>
      <c r="V97" s="698"/>
      <c r="W97" s="150"/>
      <c r="X97" s="19"/>
      <c r="Y97" s="19"/>
      <c r="Z97" s="21"/>
      <c r="AA97" s="26"/>
      <c r="AB97" s="444" t="str">
        <f t="shared" si="1"/>
        <v/>
      </c>
      <c r="AC97" s="112" t="str">
        <f>IF(Y97="","",IFERROR(INDEX(【参考】数式用2!$G$3:$I$451,MATCH(W97,【参考】数式用2!$F$3:$F$451,0),MATCH(VLOOKUP(Y97,【参考】数式用2!$J$2:$K$26,2,FALSE),【参考】数式用2!$G$2:$I$2,0)),10))</f>
        <v/>
      </c>
      <c r="AD97" s="445"/>
    </row>
    <row r="98" spans="1:30" ht="37.5" customHeight="1">
      <c r="A98" s="194"/>
      <c r="B98" s="429">
        <f t="shared" si="2"/>
        <v>45</v>
      </c>
      <c r="C98" s="750"/>
      <c r="D98" s="751"/>
      <c r="E98" s="751"/>
      <c r="F98" s="751"/>
      <c r="G98" s="751"/>
      <c r="H98" s="751"/>
      <c r="I98" s="751"/>
      <c r="J98" s="751"/>
      <c r="K98" s="751"/>
      <c r="L98" s="752"/>
      <c r="M98" s="753"/>
      <c r="N98" s="753"/>
      <c r="O98" s="753"/>
      <c r="P98" s="753"/>
      <c r="Q98" s="753"/>
      <c r="R98" s="696"/>
      <c r="S98" s="697"/>
      <c r="T98" s="697"/>
      <c r="U98" s="697"/>
      <c r="V98" s="698"/>
      <c r="W98" s="150"/>
      <c r="X98" s="19"/>
      <c r="Y98" s="19"/>
      <c r="Z98" s="21"/>
      <c r="AA98" s="26"/>
      <c r="AB98" s="444" t="str">
        <f t="shared" si="1"/>
        <v/>
      </c>
      <c r="AC98" s="112" t="str">
        <f>IF(Y98="","",IFERROR(INDEX(【参考】数式用2!$G$3:$I$451,MATCH(W98,【参考】数式用2!$F$3:$F$451,0),MATCH(VLOOKUP(Y98,【参考】数式用2!$J$2:$K$26,2,FALSE),【参考】数式用2!$G$2:$I$2,0)),10))</f>
        <v/>
      </c>
      <c r="AD98" s="445"/>
    </row>
    <row r="99" spans="1:30" ht="37.5" customHeight="1">
      <c r="A99" s="194"/>
      <c r="B99" s="429">
        <f t="shared" si="2"/>
        <v>46</v>
      </c>
      <c r="C99" s="750"/>
      <c r="D99" s="751"/>
      <c r="E99" s="751"/>
      <c r="F99" s="751"/>
      <c r="G99" s="751"/>
      <c r="H99" s="751"/>
      <c r="I99" s="751"/>
      <c r="J99" s="751"/>
      <c r="K99" s="751"/>
      <c r="L99" s="752"/>
      <c r="M99" s="753"/>
      <c r="N99" s="753"/>
      <c r="O99" s="753"/>
      <c r="P99" s="753"/>
      <c r="Q99" s="753"/>
      <c r="R99" s="696"/>
      <c r="S99" s="697"/>
      <c r="T99" s="697"/>
      <c r="U99" s="697"/>
      <c r="V99" s="698"/>
      <c r="W99" s="150"/>
      <c r="X99" s="19"/>
      <c r="Y99" s="19"/>
      <c r="Z99" s="21"/>
      <c r="AA99" s="26"/>
      <c r="AB99" s="444" t="str">
        <f t="shared" si="1"/>
        <v/>
      </c>
      <c r="AC99" s="112" t="str">
        <f>IF(Y99="","",IFERROR(INDEX(【参考】数式用2!$G$3:$I$451,MATCH(W99,【参考】数式用2!$F$3:$F$451,0),MATCH(VLOOKUP(Y99,【参考】数式用2!$J$2:$K$26,2,FALSE),【参考】数式用2!$G$2:$I$2,0)),10))</f>
        <v/>
      </c>
      <c r="AD99" s="445"/>
    </row>
    <row r="100" spans="1:30" ht="37.5" customHeight="1">
      <c r="A100" s="194"/>
      <c r="B100" s="429">
        <f t="shared" si="2"/>
        <v>47</v>
      </c>
      <c r="C100" s="750"/>
      <c r="D100" s="751"/>
      <c r="E100" s="751"/>
      <c r="F100" s="751"/>
      <c r="G100" s="751"/>
      <c r="H100" s="751"/>
      <c r="I100" s="751"/>
      <c r="J100" s="751"/>
      <c r="K100" s="751"/>
      <c r="L100" s="752"/>
      <c r="M100" s="753"/>
      <c r="N100" s="753"/>
      <c r="O100" s="753"/>
      <c r="P100" s="753"/>
      <c r="Q100" s="753"/>
      <c r="R100" s="696"/>
      <c r="S100" s="697"/>
      <c r="T100" s="697"/>
      <c r="U100" s="697"/>
      <c r="V100" s="698"/>
      <c r="W100" s="150"/>
      <c r="X100" s="19"/>
      <c r="Y100" s="19"/>
      <c r="Z100" s="21"/>
      <c r="AA100" s="26"/>
      <c r="AB100" s="444" t="str">
        <f t="shared" si="1"/>
        <v/>
      </c>
      <c r="AC100" s="112" t="str">
        <f>IF(Y100="","",IFERROR(INDEX(【参考】数式用2!$G$3:$I$451,MATCH(W100,【参考】数式用2!$F$3:$F$451,0),MATCH(VLOOKUP(Y100,【参考】数式用2!$J$2:$K$26,2,FALSE),【参考】数式用2!$G$2:$I$2,0)),10))</f>
        <v/>
      </c>
      <c r="AD100" s="445"/>
    </row>
    <row r="101" spans="1:30" ht="37.5" customHeight="1">
      <c r="A101" s="194"/>
      <c r="B101" s="429">
        <f t="shared" si="2"/>
        <v>48</v>
      </c>
      <c r="C101" s="750"/>
      <c r="D101" s="751"/>
      <c r="E101" s="751"/>
      <c r="F101" s="751"/>
      <c r="G101" s="751"/>
      <c r="H101" s="751"/>
      <c r="I101" s="751"/>
      <c r="J101" s="751"/>
      <c r="K101" s="751"/>
      <c r="L101" s="752"/>
      <c r="M101" s="753"/>
      <c r="N101" s="753"/>
      <c r="O101" s="753"/>
      <c r="P101" s="753"/>
      <c r="Q101" s="753"/>
      <c r="R101" s="696"/>
      <c r="S101" s="697"/>
      <c r="T101" s="697"/>
      <c r="U101" s="697"/>
      <c r="V101" s="698"/>
      <c r="W101" s="150"/>
      <c r="X101" s="19"/>
      <c r="Y101" s="19"/>
      <c r="Z101" s="21"/>
      <c r="AA101" s="26"/>
      <c r="AB101" s="444" t="str">
        <f t="shared" si="1"/>
        <v/>
      </c>
      <c r="AC101" s="112" t="str">
        <f>IF(Y101="","",IFERROR(INDEX(【参考】数式用2!$G$3:$I$451,MATCH(W101,【参考】数式用2!$F$3:$F$451,0),MATCH(VLOOKUP(Y101,【参考】数式用2!$J$2:$K$26,2,FALSE),【参考】数式用2!$G$2:$I$2,0)),10))</f>
        <v/>
      </c>
      <c r="AD101" s="445"/>
    </row>
    <row r="102" spans="1:30" ht="37.5" customHeight="1">
      <c r="A102" s="194"/>
      <c r="B102" s="429">
        <f t="shared" si="2"/>
        <v>49</v>
      </c>
      <c r="C102" s="750"/>
      <c r="D102" s="751"/>
      <c r="E102" s="751"/>
      <c r="F102" s="751"/>
      <c r="G102" s="751"/>
      <c r="H102" s="751"/>
      <c r="I102" s="751"/>
      <c r="J102" s="751"/>
      <c r="K102" s="751"/>
      <c r="L102" s="752"/>
      <c r="M102" s="753"/>
      <c r="N102" s="753"/>
      <c r="O102" s="753"/>
      <c r="P102" s="753"/>
      <c r="Q102" s="753"/>
      <c r="R102" s="696"/>
      <c r="S102" s="697"/>
      <c r="T102" s="697"/>
      <c r="U102" s="697"/>
      <c r="V102" s="698"/>
      <c r="W102" s="150"/>
      <c r="X102" s="19"/>
      <c r="Y102" s="19"/>
      <c r="Z102" s="21"/>
      <c r="AA102" s="26"/>
      <c r="AB102" s="444" t="str">
        <f t="shared" si="1"/>
        <v/>
      </c>
      <c r="AC102" s="112" t="str">
        <f>IF(Y102="","",IFERROR(INDEX(【参考】数式用2!$G$3:$I$451,MATCH(W102,【参考】数式用2!$F$3:$F$451,0),MATCH(VLOOKUP(Y102,【参考】数式用2!$J$2:$K$26,2,FALSE),【参考】数式用2!$G$2:$I$2,0)),10))</f>
        <v/>
      </c>
      <c r="AD102" s="445"/>
    </row>
    <row r="103" spans="1:30" ht="37.5" customHeight="1">
      <c r="A103" s="194"/>
      <c r="B103" s="429">
        <f t="shared" si="2"/>
        <v>50</v>
      </c>
      <c r="C103" s="750"/>
      <c r="D103" s="751"/>
      <c r="E103" s="751"/>
      <c r="F103" s="751"/>
      <c r="G103" s="751"/>
      <c r="H103" s="751"/>
      <c r="I103" s="751"/>
      <c r="J103" s="751"/>
      <c r="K103" s="751"/>
      <c r="L103" s="752"/>
      <c r="M103" s="753"/>
      <c r="N103" s="753"/>
      <c r="O103" s="753"/>
      <c r="P103" s="753"/>
      <c r="Q103" s="753"/>
      <c r="R103" s="696"/>
      <c r="S103" s="697"/>
      <c r="T103" s="697"/>
      <c r="U103" s="697"/>
      <c r="V103" s="698"/>
      <c r="W103" s="150"/>
      <c r="X103" s="19"/>
      <c r="Y103" s="19"/>
      <c r="Z103" s="21"/>
      <c r="AA103" s="26"/>
      <c r="AB103" s="444" t="str">
        <f t="shared" si="1"/>
        <v/>
      </c>
      <c r="AC103" s="112" t="str">
        <f>IF(Y103="","",IFERROR(INDEX(【参考】数式用2!$G$3:$I$451,MATCH(W103,【参考】数式用2!$F$3:$F$451,0),MATCH(VLOOKUP(Y103,【参考】数式用2!$J$2:$K$26,2,FALSE),【参考】数式用2!$G$2:$I$2,0)),10))</f>
        <v/>
      </c>
      <c r="AD103" s="445"/>
    </row>
    <row r="104" spans="1:30" ht="37.5" customHeight="1">
      <c r="A104" s="194"/>
      <c r="B104" s="429">
        <f t="shared" si="2"/>
        <v>51</v>
      </c>
      <c r="C104" s="750"/>
      <c r="D104" s="751"/>
      <c r="E104" s="751"/>
      <c r="F104" s="751"/>
      <c r="G104" s="751"/>
      <c r="H104" s="751"/>
      <c r="I104" s="751"/>
      <c r="J104" s="751"/>
      <c r="K104" s="751"/>
      <c r="L104" s="752"/>
      <c r="M104" s="753"/>
      <c r="N104" s="753"/>
      <c r="O104" s="753"/>
      <c r="P104" s="753"/>
      <c r="Q104" s="753"/>
      <c r="R104" s="696"/>
      <c r="S104" s="697"/>
      <c r="T104" s="697"/>
      <c r="U104" s="697"/>
      <c r="V104" s="698"/>
      <c r="W104" s="150"/>
      <c r="X104" s="19"/>
      <c r="Y104" s="19"/>
      <c r="Z104" s="21"/>
      <c r="AA104" s="26"/>
      <c r="AB104" s="444" t="str">
        <f t="shared" si="1"/>
        <v/>
      </c>
      <c r="AC104" s="112" t="str">
        <f>IF(Y104="","",IFERROR(INDEX(【参考】数式用2!$G$3:$I$451,MATCH(W104,【参考】数式用2!$F$3:$F$451,0),MATCH(VLOOKUP(Y104,【参考】数式用2!$J$2:$K$26,2,FALSE),【参考】数式用2!$G$2:$I$2,0)),10))</f>
        <v/>
      </c>
      <c r="AD104" s="445"/>
    </row>
    <row r="105" spans="1:30" ht="37.5" customHeight="1">
      <c r="A105" s="194"/>
      <c r="B105" s="429">
        <f t="shared" si="2"/>
        <v>52</v>
      </c>
      <c r="C105" s="750"/>
      <c r="D105" s="751"/>
      <c r="E105" s="751"/>
      <c r="F105" s="751"/>
      <c r="G105" s="751"/>
      <c r="H105" s="751"/>
      <c r="I105" s="751"/>
      <c r="J105" s="751"/>
      <c r="K105" s="751"/>
      <c r="L105" s="752"/>
      <c r="M105" s="753"/>
      <c r="N105" s="753"/>
      <c r="O105" s="753"/>
      <c r="P105" s="753"/>
      <c r="Q105" s="753"/>
      <c r="R105" s="696"/>
      <c r="S105" s="697"/>
      <c r="T105" s="697"/>
      <c r="U105" s="697"/>
      <c r="V105" s="698"/>
      <c r="W105" s="150"/>
      <c r="X105" s="19"/>
      <c r="Y105" s="19"/>
      <c r="Z105" s="21"/>
      <c r="AA105" s="26"/>
      <c r="AB105" s="444" t="str">
        <f t="shared" si="1"/>
        <v/>
      </c>
      <c r="AC105" s="112" t="str">
        <f>IF(Y105="","",IFERROR(INDEX(【参考】数式用2!$G$3:$I$451,MATCH(W105,【参考】数式用2!$F$3:$F$451,0),MATCH(VLOOKUP(Y105,【参考】数式用2!$J$2:$K$26,2,FALSE),【参考】数式用2!$G$2:$I$2,0)),10))</f>
        <v/>
      </c>
      <c r="AD105" s="445"/>
    </row>
    <row r="106" spans="1:30" ht="37.5" customHeight="1">
      <c r="A106" s="194"/>
      <c r="B106" s="429">
        <f t="shared" si="2"/>
        <v>53</v>
      </c>
      <c r="C106" s="750"/>
      <c r="D106" s="751"/>
      <c r="E106" s="751"/>
      <c r="F106" s="751"/>
      <c r="G106" s="751"/>
      <c r="H106" s="751"/>
      <c r="I106" s="751"/>
      <c r="J106" s="751"/>
      <c r="K106" s="751"/>
      <c r="L106" s="752"/>
      <c r="M106" s="753"/>
      <c r="N106" s="753"/>
      <c r="O106" s="753"/>
      <c r="P106" s="753"/>
      <c r="Q106" s="753"/>
      <c r="R106" s="696"/>
      <c r="S106" s="697"/>
      <c r="T106" s="697"/>
      <c r="U106" s="697"/>
      <c r="V106" s="698"/>
      <c r="W106" s="150"/>
      <c r="X106" s="19"/>
      <c r="Y106" s="19"/>
      <c r="Z106" s="21"/>
      <c r="AA106" s="26"/>
      <c r="AB106" s="444" t="str">
        <f t="shared" si="1"/>
        <v/>
      </c>
      <c r="AC106" s="112" t="str">
        <f>IF(Y106="","",IFERROR(INDEX(【参考】数式用2!$G$3:$I$451,MATCH(W106,【参考】数式用2!$F$3:$F$451,0),MATCH(VLOOKUP(Y106,【参考】数式用2!$J$2:$K$26,2,FALSE),【参考】数式用2!$G$2:$I$2,0)),10))</f>
        <v/>
      </c>
      <c r="AD106" s="445"/>
    </row>
    <row r="107" spans="1:30" ht="37.5" customHeight="1">
      <c r="A107" s="194"/>
      <c r="B107" s="429">
        <f t="shared" si="2"/>
        <v>54</v>
      </c>
      <c r="C107" s="750"/>
      <c r="D107" s="751"/>
      <c r="E107" s="751"/>
      <c r="F107" s="751"/>
      <c r="G107" s="751"/>
      <c r="H107" s="751"/>
      <c r="I107" s="751"/>
      <c r="J107" s="751"/>
      <c r="K107" s="751"/>
      <c r="L107" s="752"/>
      <c r="M107" s="753"/>
      <c r="N107" s="753"/>
      <c r="O107" s="753"/>
      <c r="P107" s="753"/>
      <c r="Q107" s="753"/>
      <c r="R107" s="696"/>
      <c r="S107" s="697"/>
      <c r="T107" s="697"/>
      <c r="U107" s="697"/>
      <c r="V107" s="698"/>
      <c r="W107" s="150"/>
      <c r="X107" s="19"/>
      <c r="Y107" s="19"/>
      <c r="Z107" s="21"/>
      <c r="AA107" s="26"/>
      <c r="AB107" s="444" t="str">
        <f t="shared" si="1"/>
        <v/>
      </c>
      <c r="AC107" s="112" t="str">
        <f>IF(Y107="","",IFERROR(INDEX(【参考】数式用2!$G$3:$I$451,MATCH(W107,【参考】数式用2!$F$3:$F$451,0),MATCH(VLOOKUP(Y107,【参考】数式用2!$J$2:$K$26,2,FALSE),【参考】数式用2!$G$2:$I$2,0)),10))</f>
        <v/>
      </c>
      <c r="AD107" s="445"/>
    </row>
    <row r="108" spans="1:30" ht="37.5" customHeight="1">
      <c r="A108" s="194"/>
      <c r="B108" s="429">
        <f t="shared" si="2"/>
        <v>55</v>
      </c>
      <c r="C108" s="750"/>
      <c r="D108" s="751"/>
      <c r="E108" s="751"/>
      <c r="F108" s="751"/>
      <c r="G108" s="751"/>
      <c r="H108" s="751"/>
      <c r="I108" s="751"/>
      <c r="J108" s="751"/>
      <c r="K108" s="751"/>
      <c r="L108" s="752"/>
      <c r="M108" s="753"/>
      <c r="N108" s="753"/>
      <c r="O108" s="753"/>
      <c r="P108" s="753"/>
      <c r="Q108" s="753"/>
      <c r="R108" s="696"/>
      <c r="S108" s="697"/>
      <c r="T108" s="697"/>
      <c r="U108" s="697"/>
      <c r="V108" s="698"/>
      <c r="W108" s="150"/>
      <c r="X108" s="19"/>
      <c r="Y108" s="19"/>
      <c r="Z108" s="21"/>
      <c r="AA108" s="26"/>
      <c r="AB108" s="444" t="str">
        <f t="shared" si="1"/>
        <v/>
      </c>
      <c r="AC108" s="112" t="str">
        <f>IF(Y108="","",IFERROR(INDEX(【参考】数式用2!$G$3:$I$451,MATCH(W108,【参考】数式用2!$F$3:$F$451,0),MATCH(VLOOKUP(Y108,【参考】数式用2!$J$2:$K$26,2,FALSE),【参考】数式用2!$G$2:$I$2,0)),10))</f>
        <v/>
      </c>
      <c r="AD108" s="445"/>
    </row>
    <row r="109" spans="1:30" ht="37.5" customHeight="1">
      <c r="A109" s="194"/>
      <c r="B109" s="429">
        <f t="shared" si="2"/>
        <v>56</v>
      </c>
      <c r="C109" s="750"/>
      <c r="D109" s="751"/>
      <c r="E109" s="751"/>
      <c r="F109" s="751"/>
      <c r="G109" s="751"/>
      <c r="H109" s="751"/>
      <c r="I109" s="751"/>
      <c r="J109" s="751"/>
      <c r="K109" s="751"/>
      <c r="L109" s="752"/>
      <c r="M109" s="753"/>
      <c r="N109" s="753"/>
      <c r="O109" s="753"/>
      <c r="P109" s="753"/>
      <c r="Q109" s="753"/>
      <c r="R109" s="696"/>
      <c r="S109" s="697"/>
      <c r="T109" s="697"/>
      <c r="U109" s="697"/>
      <c r="V109" s="698"/>
      <c r="W109" s="150"/>
      <c r="X109" s="19"/>
      <c r="Y109" s="19"/>
      <c r="Z109" s="21"/>
      <c r="AA109" s="26"/>
      <c r="AB109" s="444" t="str">
        <f t="shared" si="1"/>
        <v/>
      </c>
      <c r="AC109" s="112" t="str">
        <f>IF(Y109="","",IFERROR(INDEX(【参考】数式用2!$G$3:$I$451,MATCH(W109,【参考】数式用2!$F$3:$F$451,0),MATCH(VLOOKUP(Y109,【参考】数式用2!$J$2:$K$26,2,FALSE),【参考】数式用2!$G$2:$I$2,0)),10))</f>
        <v/>
      </c>
      <c r="AD109" s="445"/>
    </row>
    <row r="110" spans="1:30" ht="37.5" customHeight="1">
      <c r="A110" s="194"/>
      <c r="B110" s="429">
        <f t="shared" si="2"/>
        <v>57</v>
      </c>
      <c r="C110" s="750"/>
      <c r="D110" s="751"/>
      <c r="E110" s="751"/>
      <c r="F110" s="751"/>
      <c r="G110" s="751"/>
      <c r="H110" s="751"/>
      <c r="I110" s="751"/>
      <c r="J110" s="751"/>
      <c r="K110" s="751"/>
      <c r="L110" s="752"/>
      <c r="M110" s="753"/>
      <c r="N110" s="753"/>
      <c r="O110" s="753"/>
      <c r="P110" s="753"/>
      <c r="Q110" s="753"/>
      <c r="R110" s="696"/>
      <c r="S110" s="697"/>
      <c r="T110" s="697"/>
      <c r="U110" s="697"/>
      <c r="V110" s="698"/>
      <c r="W110" s="150"/>
      <c r="X110" s="19"/>
      <c r="Y110" s="19"/>
      <c r="Z110" s="21"/>
      <c r="AA110" s="26"/>
      <c r="AB110" s="444" t="str">
        <f t="shared" si="1"/>
        <v/>
      </c>
      <c r="AC110" s="112" t="str">
        <f>IF(Y110="","",IFERROR(INDEX(【参考】数式用2!$G$3:$I$451,MATCH(W110,【参考】数式用2!$F$3:$F$451,0),MATCH(VLOOKUP(Y110,【参考】数式用2!$J$2:$K$26,2,FALSE),【参考】数式用2!$G$2:$I$2,0)),10))</f>
        <v/>
      </c>
      <c r="AD110" s="445"/>
    </row>
    <row r="111" spans="1:30" ht="37.5" customHeight="1">
      <c r="A111" s="194"/>
      <c r="B111" s="429">
        <f t="shared" si="2"/>
        <v>58</v>
      </c>
      <c r="C111" s="750"/>
      <c r="D111" s="751"/>
      <c r="E111" s="751"/>
      <c r="F111" s="751"/>
      <c r="G111" s="751"/>
      <c r="H111" s="751"/>
      <c r="I111" s="751"/>
      <c r="J111" s="751"/>
      <c r="K111" s="751"/>
      <c r="L111" s="752"/>
      <c r="M111" s="753"/>
      <c r="N111" s="753"/>
      <c r="O111" s="753"/>
      <c r="P111" s="753"/>
      <c r="Q111" s="753"/>
      <c r="R111" s="696"/>
      <c r="S111" s="697"/>
      <c r="T111" s="697"/>
      <c r="U111" s="697"/>
      <c r="V111" s="698"/>
      <c r="W111" s="150"/>
      <c r="X111" s="19"/>
      <c r="Y111" s="19"/>
      <c r="Z111" s="21"/>
      <c r="AA111" s="26"/>
      <c r="AB111" s="444" t="str">
        <f t="shared" si="1"/>
        <v/>
      </c>
      <c r="AC111" s="112" t="str">
        <f>IF(Y111="","",IFERROR(INDEX(【参考】数式用2!$G$3:$I$451,MATCH(W111,【参考】数式用2!$F$3:$F$451,0),MATCH(VLOOKUP(Y111,【参考】数式用2!$J$2:$K$26,2,FALSE),【参考】数式用2!$G$2:$I$2,0)),10))</f>
        <v/>
      </c>
      <c r="AD111" s="445"/>
    </row>
    <row r="112" spans="1:30" ht="37.5" customHeight="1">
      <c r="A112" s="194"/>
      <c r="B112" s="429">
        <f t="shared" si="2"/>
        <v>59</v>
      </c>
      <c r="C112" s="750"/>
      <c r="D112" s="751"/>
      <c r="E112" s="751"/>
      <c r="F112" s="751"/>
      <c r="G112" s="751"/>
      <c r="H112" s="751"/>
      <c r="I112" s="751"/>
      <c r="J112" s="751"/>
      <c r="K112" s="751"/>
      <c r="L112" s="752"/>
      <c r="M112" s="753"/>
      <c r="N112" s="753"/>
      <c r="O112" s="753"/>
      <c r="P112" s="753"/>
      <c r="Q112" s="753"/>
      <c r="R112" s="696"/>
      <c r="S112" s="697"/>
      <c r="T112" s="697"/>
      <c r="U112" s="697"/>
      <c r="V112" s="698"/>
      <c r="W112" s="150"/>
      <c r="X112" s="19"/>
      <c r="Y112" s="19"/>
      <c r="Z112" s="21"/>
      <c r="AA112" s="26"/>
      <c r="AB112" s="444" t="str">
        <f t="shared" si="1"/>
        <v/>
      </c>
      <c r="AC112" s="112" t="str">
        <f>IF(Y112="","",IFERROR(INDEX(【参考】数式用2!$G$3:$I$451,MATCH(W112,【参考】数式用2!$F$3:$F$451,0),MATCH(VLOOKUP(Y112,【参考】数式用2!$J$2:$K$26,2,FALSE),【参考】数式用2!$G$2:$I$2,0)),10))</f>
        <v/>
      </c>
      <c r="AD112" s="445"/>
    </row>
    <row r="113" spans="1:30" ht="37.5" customHeight="1">
      <c r="A113" s="194"/>
      <c r="B113" s="429">
        <f t="shared" si="2"/>
        <v>60</v>
      </c>
      <c r="C113" s="750"/>
      <c r="D113" s="751"/>
      <c r="E113" s="751"/>
      <c r="F113" s="751"/>
      <c r="G113" s="751"/>
      <c r="H113" s="751"/>
      <c r="I113" s="751"/>
      <c r="J113" s="751"/>
      <c r="K113" s="751"/>
      <c r="L113" s="752"/>
      <c r="M113" s="753"/>
      <c r="N113" s="753"/>
      <c r="O113" s="753"/>
      <c r="P113" s="753"/>
      <c r="Q113" s="753"/>
      <c r="R113" s="696"/>
      <c r="S113" s="697"/>
      <c r="T113" s="697"/>
      <c r="U113" s="697"/>
      <c r="V113" s="698"/>
      <c r="W113" s="150"/>
      <c r="X113" s="19"/>
      <c r="Y113" s="19"/>
      <c r="Z113" s="21"/>
      <c r="AA113" s="26"/>
      <c r="AB113" s="444" t="str">
        <f t="shared" si="1"/>
        <v/>
      </c>
      <c r="AC113" s="112" t="str">
        <f>IF(Y113="","",IFERROR(INDEX(【参考】数式用2!$G$3:$I$451,MATCH(W113,【参考】数式用2!$F$3:$F$451,0),MATCH(VLOOKUP(Y113,【参考】数式用2!$J$2:$K$26,2,FALSE),【参考】数式用2!$G$2:$I$2,0)),10))</f>
        <v/>
      </c>
      <c r="AD113" s="445"/>
    </row>
    <row r="114" spans="1:30" ht="37.5" customHeight="1">
      <c r="A114" s="194"/>
      <c r="B114" s="429">
        <f t="shared" si="2"/>
        <v>61</v>
      </c>
      <c r="C114" s="750"/>
      <c r="D114" s="751"/>
      <c r="E114" s="751"/>
      <c r="F114" s="751"/>
      <c r="G114" s="751"/>
      <c r="H114" s="751"/>
      <c r="I114" s="751"/>
      <c r="J114" s="751"/>
      <c r="K114" s="751"/>
      <c r="L114" s="752"/>
      <c r="M114" s="753"/>
      <c r="N114" s="753"/>
      <c r="O114" s="753"/>
      <c r="P114" s="753"/>
      <c r="Q114" s="753"/>
      <c r="R114" s="696"/>
      <c r="S114" s="697"/>
      <c r="T114" s="697"/>
      <c r="U114" s="697"/>
      <c r="V114" s="698"/>
      <c r="W114" s="150"/>
      <c r="X114" s="19"/>
      <c r="Y114" s="19"/>
      <c r="Z114" s="21"/>
      <c r="AA114" s="26"/>
      <c r="AB114" s="444" t="str">
        <f t="shared" si="1"/>
        <v/>
      </c>
      <c r="AC114" s="112" t="str">
        <f>IF(Y114="","",IFERROR(INDEX(【参考】数式用2!$G$3:$I$451,MATCH(W114,【参考】数式用2!$F$3:$F$451,0),MATCH(VLOOKUP(Y114,【参考】数式用2!$J$2:$K$26,2,FALSE),【参考】数式用2!$G$2:$I$2,0)),10))</f>
        <v/>
      </c>
      <c r="AD114" s="445"/>
    </row>
    <row r="115" spans="1:30" ht="37.5" customHeight="1">
      <c r="A115" s="194"/>
      <c r="B115" s="429">
        <f t="shared" si="2"/>
        <v>62</v>
      </c>
      <c r="C115" s="750"/>
      <c r="D115" s="751"/>
      <c r="E115" s="751"/>
      <c r="F115" s="751"/>
      <c r="G115" s="751"/>
      <c r="H115" s="751"/>
      <c r="I115" s="751"/>
      <c r="J115" s="751"/>
      <c r="K115" s="751"/>
      <c r="L115" s="752"/>
      <c r="M115" s="753"/>
      <c r="N115" s="753"/>
      <c r="O115" s="753"/>
      <c r="P115" s="753"/>
      <c r="Q115" s="753"/>
      <c r="R115" s="696"/>
      <c r="S115" s="697"/>
      <c r="T115" s="697"/>
      <c r="U115" s="697"/>
      <c r="V115" s="698"/>
      <c r="W115" s="150"/>
      <c r="X115" s="19"/>
      <c r="Y115" s="19"/>
      <c r="Z115" s="21"/>
      <c r="AA115" s="26"/>
      <c r="AB115" s="444" t="str">
        <f t="shared" si="1"/>
        <v/>
      </c>
      <c r="AC115" s="112" t="str">
        <f>IF(Y115="","",IFERROR(INDEX(【参考】数式用2!$G$3:$I$451,MATCH(W115,【参考】数式用2!$F$3:$F$451,0),MATCH(VLOOKUP(Y115,【参考】数式用2!$J$2:$K$26,2,FALSE),【参考】数式用2!$G$2:$I$2,0)),10))</f>
        <v/>
      </c>
      <c r="AD115" s="445"/>
    </row>
    <row r="116" spans="1:30" ht="37.5" customHeight="1">
      <c r="A116" s="194"/>
      <c r="B116" s="429">
        <f t="shared" si="2"/>
        <v>63</v>
      </c>
      <c r="C116" s="750"/>
      <c r="D116" s="751"/>
      <c r="E116" s="751"/>
      <c r="F116" s="751"/>
      <c r="G116" s="751"/>
      <c r="H116" s="751"/>
      <c r="I116" s="751"/>
      <c r="J116" s="751"/>
      <c r="K116" s="751"/>
      <c r="L116" s="752"/>
      <c r="M116" s="753"/>
      <c r="N116" s="753"/>
      <c r="O116" s="753"/>
      <c r="P116" s="753"/>
      <c r="Q116" s="753"/>
      <c r="R116" s="696"/>
      <c r="S116" s="697"/>
      <c r="T116" s="697"/>
      <c r="U116" s="697"/>
      <c r="V116" s="698"/>
      <c r="W116" s="150"/>
      <c r="X116" s="19"/>
      <c r="Y116" s="19"/>
      <c r="Z116" s="21"/>
      <c r="AA116" s="26"/>
      <c r="AB116" s="444" t="str">
        <f t="shared" si="1"/>
        <v/>
      </c>
      <c r="AC116" s="112" t="str">
        <f>IF(Y116="","",IFERROR(INDEX(【参考】数式用2!$G$3:$I$451,MATCH(W116,【参考】数式用2!$F$3:$F$451,0),MATCH(VLOOKUP(Y116,【参考】数式用2!$J$2:$K$26,2,FALSE),【参考】数式用2!$G$2:$I$2,0)),10))</f>
        <v/>
      </c>
      <c r="AD116" s="445"/>
    </row>
    <row r="117" spans="1:30" ht="37.5" customHeight="1">
      <c r="A117" s="194"/>
      <c r="B117" s="429">
        <f t="shared" si="2"/>
        <v>64</v>
      </c>
      <c r="C117" s="750"/>
      <c r="D117" s="751"/>
      <c r="E117" s="751"/>
      <c r="F117" s="751"/>
      <c r="G117" s="751"/>
      <c r="H117" s="751"/>
      <c r="I117" s="751"/>
      <c r="J117" s="751"/>
      <c r="K117" s="751"/>
      <c r="L117" s="752"/>
      <c r="M117" s="753"/>
      <c r="N117" s="753"/>
      <c r="O117" s="753"/>
      <c r="P117" s="753"/>
      <c r="Q117" s="753"/>
      <c r="R117" s="696"/>
      <c r="S117" s="697"/>
      <c r="T117" s="697"/>
      <c r="U117" s="697"/>
      <c r="V117" s="698"/>
      <c r="W117" s="150"/>
      <c r="X117" s="19"/>
      <c r="Y117" s="19"/>
      <c r="Z117" s="21"/>
      <c r="AA117" s="26"/>
      <c r="AB117" s="444" t="str">
        <f t="shared" si="1"/>
        <v/>
      </c>
      <c r="AC117" s="112" t="str">
        <f>IF(Y117="","",IFERROR(INDEX(【参考】数式用2!$G$3:$I$451,MATCH(W117,【参考】数式用2!$F$3:$F$451,0),MATCH(VLOOKUP(Y117,【参考】数式用2!$J$2:$K$26,2,FALSE),【参考】数式用2!$G$2:$I$2,0)),10))</f>
        <v/>
      </c>
      <c r="AD117" s="445"/>
    </row>
    <row r="118" spans="1:30" ht="37.5" customHeight="1">
      <c r="A118" s="194"/>
      <c r="B118" s="429">
        <f t="shared" si="2"/>
        <v>65</v>
      </c>
      <c r="C118" s="750"/>
      <c r="D118" s="751"/>
      <c r="E118" s="751"/>
      <c r="F118" s="751"/>
      <c r="G118" s="751"/>
      <c r="H118" s="751"/>
      <c r="I118" s="751"/>
      <c r="J118" s="751"/>
      <c r="K118" s="751"/>
      <c r="L118" s="752"/>
      <c r="M118" s="753"/>
      <c r="N118" s="753"/>
      <c r="O118" s="753"/>
      <c r="P118" s="753"/>
      <c r="Q118" s="753"/>
      <c r="R118" s="696"/>
      <c r="S118" s="697"/>
      <c r="T118" s="697"/>
      <c r="U118" s="697"/>
      <c r="V118" s="698"/>
      <c r="W118" s="150"/>
      <c r="X118" s="19"/>
      <c r="Y118" s="19"/>
      <c r="Z118" s="21"/>
      <c r="AA118" s="26"/>
      <c r="AB118" s="444" t="str">
        <f t="shared" si="1"/>
        <v/>
      </c>
      <c r="AC118" s="112" t="str">
        <f>IF(Y118="","",IFERROR(INDEX(【参考】数式用2!$G$3:$I$451,MATCH(W118,【参考】数式用2!$F$3:$F$451,0),MATCH(VLOOKUP(Y118,【参考】数式用2!$J$2:$K$26,2,FALSE),【参考】数式用2!$G$2:$I$2,0)),10))</f>
        <v/>
      </c>
      <c r="AD118" s="445"/>
    </row>
    <row r="119" spans="1:30" ht="37.5" customHeight="1">
      <c r="A119" s="194"/>
      <c r="B119" s="429">
        <f t="shared" si="2"/>
        <v>66</v>
      </c>
      <c r="C119" s="750"/>
      <c r="D119" s="751"/>
      <c r="E119" s="751"/>
      <c r="F119" s="751"/>
      <c r="G119" s="751"/>
      <c r="H119" s="751"/>
      <c r="I119" s="751"/>
      <c r="J119" s="751"/>
      <c r="K119" s="751"/>
      <c r="L119" s="752"/>
      <c r="M119" s="753"/>
      <c r="N119" s="753"/>
      <c r="O119" s="753"/>
      <c r="P119" s="753"/>
      <c r="Q119" s="753"/>
      <c r="R119" s="696"/>
      <c r="S119" s="697"/>
      <c r="T119" s="697"/>
      <c r="U119" s="697"/>
      <c r="V119" s="698"/>
      <c r="W119" s="150"/>
      <c r="X119" s="19"/>
      <c r="Y119" s="19"/>
      <c r="Z119" s="21"/>
      <c r="AA119" s="26"/>
      <c r="AB119" s="444" t="str">
        <f t="shared" si="1"/>
        <v/>
      </c>
      <c r="AC119" s="112" t="str">
        <f>IF(Y119="","",IFERROR(INDEX(【参考】数式用2!$G$3:$I$451,MATCH(W119,【参考】数式用2!$F$3:$F$451,0),MATCH(VLOOKUP(Y119,【参考】数式用2!$J$2:$K$26,2,FALSE),【参考】数式用2!$G$2:$I$2,0)),10))</f>
        <v/>
      </c>
      <c r="AD119" s="445"/>
    </row>
    <row r="120" spans="1:30" ht="37.5" customHeight="1">
      <c r="A120" s="194"/>
      <c r="B120" s="429">
        <f t="shared" ref="B120:B145" si="3">B119+1</f>
        <v>67</v>
      </c>
      <c r="C120" s="750"/>
      <c r="D120" s="751"/>
      <c r="E120" s="751"/>
      <c r="F120" s="751"/>
      <c r="G120" s="751"/>
      <c r="H120" s="751"/>
      <c r="I120" s="751"/>
      <c r="J120" s="751"/>
      <c r="K120" s="751"/>
      <c r="L120" s="752"/>
      <c r="M120" s="753"/>
      <c r="N120" s="753"/>
      <c r="O120" s="753"/>
      <c r="P120" s="753"/>
      <c r="Q120" s="753"/>
      <c r="R120" s="696"/>
      <c r="S120" s="697"/>
      <c r="T120" s="697"/>
      <c r="U120" s="697"/>
      <c r="V120" s="698"/>
      <c r="W120" s="150"/>
      <c r="X120" s="19"/>
      <c r="Y120" s="19"/>
      <c r="Z120" s="21"/>
      <c r="AA120" s="26"/>
      <c r="AB120" s="444" t="str">
        <f t="shared" ref="AB120:AB153" si="4">IF(Z120-AA120=0,"",Z120-AA120)</f>
        <v/>
      </c>
      <c r="AC120" s="112" t="str">
        <f>IF(Y120="","",IFERROR(INDEX(【参考】数式用2!$G$3:$I$451,MATCH(W120,【参考】数式用2!$F$3:$F$451,0),MATCH(VLOOKUP(Y120,【参考】数式用2!$J$2:$K$26,2,FALSE),【参考】数式用2!$G$2:$I$2,0)),10))</f>
        <v/>
      </c>
      <c r="AD120" s="445"/>
    </row>
    <row r="121" spans="1:30" ht="37.5" customHeight="1">
      <c r="A121" s="194"/>
      <c r="B121" s="429">
        <f t="shared" si="3"/>
        <v>68</v>
      </c>
      <c r="C121" s="750"/>
      <c r="D121" s="751"/>
      <c r="E121" s="751"/>
      <c r="F121" s="751"/>
      <c r="G121" s="751"/>
      <c r="H121" s="751"/>
      <c r="I121" s="751"/>
      <c r="J121" s="751"/>
      <c r="K121" s="751"/>
      <c r="L121" s="752"/>
      <c r="M121" s="753"/>
      <c r="N121" s="753"/>
      <c r="O121" s="753"/>
      <c r="P121" s="753"/>
      <c r="Q121" s="753"/>
      <c r="R121" s="696"/>
      <c r="S121" s="697"/>
      <c r="T121" s="697"/>
      <c r="U121" s="697"/>
      <c r="V121" s="698"/>
      <c r="W121" s="150"/>
      <c r="X121" s="19"/>
      <c r="Y121" s="19"/>
      <c r="Z121" s="21"/>
      <c r="AA121" s="26"/>
      <c r="AB121" s="444" t="str">
        <f t="shared" si="4"/>
        <v/>
      </c>
      <c r="AC121" s="112" t="str">
        <f>IF(Y121="","",IFERROR(INDEX(【参考】数式用2!$G$3:$I$451,MATCH(W121,【参考】数式用2!$F$3:$F$451,0),MATCH(VLOOKUP(Y121,【参考】数式用2!$J$2:$K$26,2,FALSE),【参考】数式用2!$G$2:$I$2,0)),10))</f>
        <v/>
      </c>
      <c r="AD121" s="445"/>
    </row>
    <row r="122" spans="1:30" ht="37.5" customHeight="1">
      <c r="A122" s="194"/>
      <c r="B122" s="429">
        <f t="shared" si="3"/>
        <v>69</v>
      </c>
      <c r="C122" s="750"/>
      <c r="D122" s="751"/>
      <c r="E122" s="751"/>
      <c r="F122" s="751"/>
      <c r="G122" s="751"/>
      <c r="H122" s="751"/>
      <c r="I122" s="751"/>
      <c r="J122" s="751"/>
      <c r="K122" s="751"/>
      <c r="L122" s="752"/>
      <c r="M122" s="753"/>
      <c r="N122" s="753"/>
      <c r="O122" s="753"/>
      <c r="P122" s="753"/>
      <c r="Q122" s="753"/>
      <c r="R122" s="696"/>
      <c r="S122" s="697"/>
      <c r="T122" s="697"/>
      <c r="U122" s="697"/>
      <c r="V122" s="698"/>
      <c r="W122" s="150"/>
      <c r="X122" s="19"/>
      <c r="Y122" s="19"/>
      <c r="Z122" s="21"/>
      <c r="AA122" s="26"/>
      <c r="AB122" s="444" t="str">
        <f t="shared" si="4"/>
        <v/>
      </c>
      <c r="AC122" s="112" t="str">
        <f>IF(Y122="","",IFERROR(INDEX(【参考】数式用2!$G$3:$I$451,MATCH(W122,【参考】数式用2!$F$3:$F$451,0),MATCH(VLOOKUP(Y122,【参考】数式用2!$J$2:$K$26,2,FALSE),【参考】数式用2!$G$2:$I$2,0)),10))</f>
        <v/>
      </c>
      <c r="AD122" s="445"/>
    </row>
    <row r="123" spans="1:30" ht="37.5" customHeight="1">
      <c r="A123" s="194"/>
      <c r="B123" s="429">
        <f t="shared" si="3"/>
        <v>70</v>
      </c>
      <c r="C123" s="750"/>
      <c r="D123" s="751"/>
      <c r="E123" s="751"/>
      <c r="F123" s="751"/>
      <c r="G123" s="751"/>
      <c r="H123" s="751"/>
      <c r="I123" s="751"/>
      <c r="J123" s="751"/>
      <c r="K123" s="751"/>
      <c r="L123" s="752"/>
      <c r="M123" s="753"/>
      <c r="N123" s="753"/>
      <c r="O123" s="753"/>
      <c r="P123" s="753"/>
      <c r="Q123" s="753"/>
      <c r="R123" s="696"/>
      <c r="S123" s="697"/>
      <c r="T123" s="697"/>
      <c r="U123" s="697"/>
      <c r="V123" s="698"/>
      <c r="W123" s="150"/>
      <c r="X123" s="19"/>
      <c r="Y123" s="19"/>
      <c r="Z123" s="21"/>
      <c r="AA123" s="26"/>
      <c r="AB123" s="444" t="str">
        <f t="shared" si="4"/>
        <v/>
      </c>
      <c r="AC123" s="112" t="str">
        <f>IF(Y123="","",IFERROR(INDEX(【参考】数式用2!$G$3:$I$451,MATCH(W123,【参考】数式用2!$F$3:$F$451,0),MATCH(VLOOKUP(Y123,【参考】数式用2!$J$2:$K$26,2,FALSE),【参考】数式用2!$G$2:$I$2,0)),10))</f>
        <v/>
      </c>
      <c r="AD123" s="445"/>
    </row>
    <row r="124" spans="1:30" ht="37.5" customHeight="1">
      <c r="A124" s="194"/>
      <c r="B124" s="429">
        <f t="shared" si="3"/>
        <v>71</v>
      </c>
      <c r="C124" s="750"/>
      <c r="D124" s="751"/>
      <c r="E124" s="751"/>
      <c r="F124" s="751"/>
      <c r="G124" s="751"/>
      <c r="H124" s="751"/>
      <c r="I124" s="751"/>
      <c r="J124" s="751"/>
      <c r="K124" s="751"/>
      <c r="L124" s="752"/>
      <c r="M124" s="753"/>
      <c r="N124" s="753"/>
      <c r="O124" s="753"/>
      <c r="P124" s="753"/>
      <c r="Q124" s="753"/>
      <c r="R124" s="696"/>
      <c r="S124" s="697"/>
      <c r="T124" s="697"/>
      <c r="U124" s="697"/>
      <c r="V124" s="698"/>
      <c r="W124" s="150"/>
      <c r="X124" s="19"/>
      <c r="Y124" s="19"/>
      <c r="Z124" s="21"/>
      <c r="AA124" s="26"/>
      <c r="AB124" s="444" t="str">
        <f t="shared" si="4"/>
        <v/>
      </c>
      <c r="AC124" s="112" t="str">
        <f>IF(Y124="","",IFERROR(INDEX(【参考】数式用2!$G$3:$I$451,MATCH(W124,【参考】数式用2!$F$3:$F$451,0),MATCH(VLOOKUP(Y124,【参考】数式用2!$J$2:$K$26,2,FALSE),【参考】数式用2!$G$2:$I$2,0)),10))</f>
        <v/>
      </c>
      <c r="AD124" s="445"/>
    </row>
    <row r="125" spans="1:30" ht="37.5" customHeight="1">
      <c r="A125" s="194"/>
      <c r="B125" s="429">
        <f t="shared" si="3"/>
        <v>72</v>
      </c>
      <c r="C125" s="750"/>
      <c r="D125" s="751"/>
      <c r="E125" s="751"/>
      <c r="F125" s="751"/>
      <c r="G125" s="751"/>
      <c r="H125" s="751"/>
      <c r="I125" s="751"/>
      <c r="J125" s="751"/>
      <c r="K125" s="751"/>
      <c r="L125" s="752"/>
      <c r="M125" s="753"/>
      <c r="N125" s="753"/>
      <c r="O125" s="753"/>
      <c r="P125" s="753"/>
      <c r="Q125" s="753"/>
      <c r="R125" s="696"/>
      <c r="S125" s="697"/>
      <c r="T125" s="697"/>
      <c r="U125" s="697"/>
      <c r="V125" s="698"/>
      <c r="W125" s="150"/>
      <c r="X125" s="19"/>
      <c r="Y125" s="19"/>
      <c r="Z125" s="21"/>
      <c r="AA125" s="26"/>
      <c r="AB125" s="444" t="str">
        <f t="shared" si="4"/>
        <v/>
      </c>
      <c r="AC125" s="112" t="str">
        <f>IF(Y125="","",IFERROR(INDEX(【参考】数式用2!$G$3:$I$451,MATCH(W125,【参考】数式用2!$F$3:$F$451,0),MATCH(VLOOKUP(Y125,【参考】数式用2!$J$2:$K$26,2,FALSE),【参考】数式用2!$G$2:$I$2,0)),10))</f>
        <v/>
      </c>
      <c r="AD125" s="445"/>
    </row>
    <row r="126" spans="1:30" ht="37.5" customHeight="1">
      <c r="A126" s="194"/>
      <c r="B126" s="429">
        <f t="shared" si="3"/>
        <v>73</v>
      </c>
      <c r="C126" s="750"/>
      <c r="D126" s="751"/>
      <c r="E126" s="751"/>
      <c r="F126" s="751"/>
      <c r="G126" s="751"/>
      <c r="H126" s="751"/>
      <c r="I126" s="751"/>
      <c r="J126" s="751"/>
      <c r="K126" s="751"/>
      <c r="L126" s="752"/>
      <c r="M126" s="753"/>
      <c r="N126" s="753"/>
      <c r="O126" s="753"/>
      <c r="P126" s="753"/>
      <c r="Q126" s="753"/>
      <c r="R126" s="696"/>
      <c r="S126" s="697"/>
      <c r="T126" s="697"/>
      <c r="U126" s="697"/>
      <c r="V126" s="698"/>
      <c r="W126" s="150"/>
      <c r="X126" s="19"/>
      <c r="Y126" s="19"/>
      <c r="Z126" s="21"/>
      <c r="AA126" s="26"/>
      <c r="AB126" s="444" t="str">
        <f t="shared" si="4"/>
        <v/>
      </c>
      <c r="AC126" s="112" t="str">
        <f>IF(Y126="","",IFERROR(INDEX(【参考】数式用2!$G$3:$I$451,MATCH(W126,【参考】数式用2!$F$3:$F$451,0),MATCH(VLOOKUP(Y126,【参考】数式用2!$J$2:$K$26,2,FALSE),【参考】数式用2!$G$2:$I$2,0)),10))</f>
        <v/>
      </c>
      <c r="AD126" s="445"/>
    </row>
    <row r="127" spans="1:30" ht="37.5" customHeight="1">
      <c r="A127" s="194"/>
      <c r="B127" s="429">
        <f t="shared" si="3"/>
        <v>74</v>
      </c>
      <c r="C127" s="750"/>
      <c r="D127" s="751"/>
      <c r="E127" s="751"/>
      <c r="F127" s="751"/>
      <c r="G127" s="751"/>
      <c r="H127" s="751"/>
      <c r="I127" s="751"/>
      <c r="J127" s="751"/>
      <c r="K127" s="751"/>
      <c r="L127" s="752"/>
      <c r="M127" s="753"/>
      <c r="N127" s="753"/>
      <c r="O127" s="753"/>
      <c r="P127" s="753"/>
      <c r="Q127" s="753"/>
      <c r="R127" s="696"/>
      <c r="S127" s="697"/>
      <c r="T127" s="697"/>
      <c r="U127" s="697"/>
      <c r="V127" s="698"/>
      <c r="W127" s="150"/>
      <c r="X127" s="19"/>
      <c r="Y127" s="19"/>
      <c r="Z127" s="21"/>
      <c r="AA127" s="26"/>
      <c r="AB127" s="444" t="str">
        <f t="shared" si="4"/>
        <v/>
      </c>
      <c r="AC127" s="112" t="str">
        <f>IF(Y127="","",IFERROR(INDEX(【参考】数式用2!$G$3:$I$451,MATCH(W127,【参考】数式用2!$F$3:$F$451,0),MATCH(VLOOKUP(Y127,【参考】数式用2!$J$2:$K$26,2,FALSE),【参考】数式用2!$G$2:$I$2,0)),10))</f>
        <v/>
      </c>
      <c r="AD127" s="445"/>
    </row>
    <row r="128" spans="1:30" ht="37.5" customHeight="1">
      <c r="A128" s="194"/>
      <c r="B128" s="429">
        <f t="shared" si="3"/>
        <v>75</v>
      </c>
      <c r="C128" s="750"/>
      <c r="D128" s="751"/>
      <c r="E128" s="751"/>
      <c r="F128" s="751"/>
      <c r="G128" s="751"/>
      <c r="H128" s="751"/>
      <c r="I128" s="751"/>
      <c r="J128" s="751"/>
      <c r="K128" s="751"/>
      <c r="L128" s="752"/>
      <c r="M128" s="753"/>
      <c r="N128" s="753"/>
      <c r="O128" s="753"/>
      <c r="P128" s="753"/>
      <c r="Q128" s="753"/>
      <c r="R128" s="696"/>
      <c r="S128" s="697"/>
      <c r="T128" s="697"/>
      <c r="U128" s="697"/>
      <c r="V128" s="698"/>
      <c r="W128" s="150"/>
      <c r="X128" s="19"/>
      <c r="Y128" s="19"/>
      <c r="Z128" s="21"/>
      <c r="AA128" s="26"/>
      <c r="AB128" s="444" t="str">
        <f t="shared" si="4"/>
        <v/>
      </c>
      <c r="AC128" s="112" t="str">
        <f>IF(Y128="","",IFERROR(INDEX(【参考】数式用2!$G$3:$I$451,MATCH(W128,【参考】数式用2!$F$3:$F$451,0),MATCH(VLOOKUP(Y128,【参考】数式用2!$J$2:$K$26,2,FALSE),【参考】数式用2!$G$2:$I$2,0)),10))</f>
        <v/>
      </c>
      <c r="AD128" s="445"/>
    </row>
    <row r="129" spans="1:30" ht="37.5" customHeight="1">
      <c r="A129" s="194"/>
      <c r="B129" s="429">
        <f t="shared" si="3"/>
        <v>76</v>
      </c>
      <c r="C129" s="750"/>
      <c r="D129" s="751"/>
      <c r="E129" s="751"/>
      <c r="F129" s="751"/>
      <c r="G129" s="751"/>
      <c r="H129" s="751"/>
      <c r="I129" s="751"/>
      <c r="J129" s="751"/>
      <c r="K129" s="751"/>
      <c r="L129" s="752"/>
      <c r="M129" s="753"/>
      <c r="N129" s="753"/>
      <c r="O129" s="753"/>
      <c r="P129" s="753"/>
      <c r="Q129" s="753"/>
      <c r="R129" s="696"/>
      <c r="S129" s="697"/>
      <c r="T129" s="697"/>
      <c r="U129" s="697"/>
      <c r="V129" s="698"/>
      <c r="W129" s="150"/>
      <c r="X129" s="19"/>
      <c r="Y129" s="19"/>
      <c r="Z129" s="21"/>
      <c r="AA129" s="26"/>
      <c r="AB129" s="444" t="str">
        <f t="shared" si="4"/>
        <v/>
      </c>
      <c r="AC129" s="112" t="str">
        <f>IF(Y129="","",IFERROR(INDEX(【参考】数式用2!$G$3:$I$451,MATCH(W129,【参考】数式用2!$F$3:$F$451,0),MATCH(VLOOKUP(Y129,【参考】数式用2!$J$2:$K$26,2,FALSE),【参考】数式用2!$G$2:$I$2,0)),10))</f>
        <v/>
      </c>
      <c r="AD129" s="445"/>
    </row>
    <row r="130" spans="1:30" ht="37.5" customHeight="1">
      <c r="A130" s="194"/>
      <c r="B130" s="429">
        <f t="shared" si="3"/>
        <v>77</v>
      </c>
      <c r="C130" s="750"/>
      <c r="D130" s="751"/>
      <c r="E130" s="751"/>
      <c r="F130" s="751"/>
      <c r="G130" s="751"/>
      <c r="H130" s="751"/>
      <c r="I130" s="751"/>
      <c r="J130" s="751"/>
      <c r="K130" s="751"/>
      <c r="L130" s="752"/>
      <c r="M130" s="753"/>
      <c r="N130" s="753"/>
      <c r="O130" s="753"/>
      <c r="P130" s="753"/>
      <c r="Q130" s="753"/>
      <c r="R130" s="696"/>
      <c r="S130" s="697"/>
      <c r="T130" s="697"/>
      <c r="U130" s="697"/>
      <c r="V130" s="698"/>
      <c r="W130" s="150"/>
      <c r="X130" s="19"/>
      <c r="Y130" s="19"/>
      <c r="Z130" s="21"/>
      <c r="AA130" s="26"/>
      <c r="AB130" s="444" t="str">
        <f t="shared" si="4"/>
        <v/>
      </c>
      <c r="AC130" s="112" t="str">
        <f>IF(Y130="","",IFERROR(INDEX(【参考】数式用2!$G$3:$I$451,MATCH(W130,【参考】数式用2!$F$3:$F$451,0),MATCH(VLOOKUP(Y130,【参考】数式用2!$J$2:$K$26,2,FALSE),【参考】数式用2!$G$2:$I$2,0)),10))</f>
        <v/>
      </c>
      <c r="AD130" s="445"/>
    </row>
    <row r="131" spans="1:30" ht="37.5" customHeight="1">
      <c r="A131" s="194"/>
      <c r="B131" s="429">
        <f t="shared" si="3"/>
        <v>78</v>
      </c>
      <c r="C131" s="750"/>
      <c r="D131" s="751"/>
      <c r="E131" s="751"/>
      <c r="F131" s="751"/>
      <c r="G131" s="751"/>
      <c r="H131" s="751"/>
      <c r="I131" s="751"/>
      <c r="J131" s="751"/>
      <c r="K131" s="751"/>
      <c r="L131" s="752"/>
      <c r="M131" s="753"/>
      <c r="N131" s="753"/>
      <c r="O131" s="753"/>
      <c r="P131" s="753"/>
      <c r="Q131" s="753"/>
      <c r="R131" s="696"/>
      <c r="S131" s="697"/>
      <c r="T131" s="697"/>
      <c r="U131" s="697"/>
      <c r="V131" s="698"/>
      <c r="W131" s="150"/>
      <c r="X131" s="19"/>
      <c r="Y131" s="19"/>
      <c r="Z131" s="21"/>
      <c r="AA131" s="26"/>
      <c r="AB131" s="444" t="str">
        <f t="shared" si="4"/>
        <v/>
      </c>
      <c r="AC131" s="112" t="str">
        <f>IF(Y131="","",IFERROR(INDEX(【参考】数式用2!$G$3:$I$451,MATCH(W131,【参考】数式用2!$F$3:$F$451,0),MATCH(VLOOKUP(Y131,【参考】数式用2!$J$2:$K$26,2,FALSE),【参考】数式用2!$G$2:$I$2,0)),10))</f>
        <v/>
      </c>
      <c r="AD131" s="445"/>
    </row>
    <row r="132" spans="1:30" ht="37.5" customHeight="1">
      <c r="A132" s="194"/>
      <c r="B132" s="429">
        <f t="shared" si="3"/>
        <v>79</v>
      </c>
      <c r="C132" s="750"/>
      <c r="D132" s="751"/>
      <c r="E132" s="751"/>
      <c r="F132" s="751"/>
      <c r="G132" s="751"/>
      <c r="H132" s="751"/>
      <c r="I132" s="751"/>
      <c r="J132" s="751"/>
      <c r="K132" s="751"/>
      <c r="L132" s="752"/>
      <c r="M132" s="753"/>
      <c r="N132" s="753"/>
      <c r="O132" s="753"/>
      <c r="P132" s="753"/>
      <c r="Q132" s="753"/>
      <c r="R132" s="696"/>
      <c r="S132" s="697"/>
      <c r="T132" s="697"/>
      <c r="U132" s="697"/>
      <c r="V132" s="698"/>
      <c r="W132" s="150"/>
      <c r="X132" s="19"/>
      <c r="Y132" s="19"/>
      <c r="Z132" s="21"/>
      <c r="AA132" s="26"/>
      <c r="AB132" s="444" t="str">
        <f t="shared" si="4"/>
        <v/>
      </c>
      <c r="AC132" s="112" t="str">
        <f>IF(Y132="","",IFERROR(INDEX(【参考】数式用2!$G$3:$I$451,MATCH(W132,【参考】数式用2!$F$3:$F$451,0),MATCH(VLOOKUP(Y132,【参考】数式用2!$J$2:$K$26,2,FALSE),【参考】数式用2!$G$2:$I$2,0)),10))</f>
        <v/>
      </c>
      <c r="AD132" s="445"/>
    </row>
    <row r="133" spans="1:30" ht="37.5" customHeight="1">
      <c r="A133" s="194"/>
      <c r="B133" s="429">
        <f t="shared" si="3"/>
        <v>80</v>
      </c>
      <c r="C133" s="750"/>
      <c r="D133" s="751"/>
      <c r="E133" s="751"/>
      <c r="F133" s="751"/>
      <c r="G133" s="751"/>
      <c r="H133" s="751"/>
      <c r="I133" s="751"/>
      <c r="J133" s="751"/>
      <c r="K133" s="751"/>
      <c r="L133" s="752"/>
      <c r="M133" s="753"/>
      <c r="N133" s="753"/>
      <c r="O133" s="753"/>
      <c r="P133" s="753"/>
      <c r="Q133" s="753"/>
      <c r="R133" s="696"/>
      <c r="S133" s="697"/>
      <c r="T133" s="697"/>
      <c r="U133" s="697"/>
      <c r="V133" s="698"/>
      <c r="W133" s="150"/>
      <c r="X133" s="19"/>
      <c r="Y133" s="19"/>
      <c r="Z133" s="21"/>
      <c r="AA133" s="26"/>
      <c r="AB133" s="444" t="str">
        <f t="shared" si="4"/>
        <v/>
      </c>
      <c r="AC133" s="112" t="str">
        <f>IF(Y133="","",IFERROR(INDEX(【参考】数式用2!$G$3:$I$451,MATCH(W133,【参考】数式用2!$F$3:$F$451,0),MATCH(VLOOKUP(Y133,【参考】数式用2!$J$2:$K$26,2,FALSE),【参考】数式用2!$G$2:$I$2,0)),10))</f>
        <v/>
      </c>
      <c r="AD133" s="445"/>
    </row>
    <row r="134" spans="1:30" ht="37.5" customHeight="1">
      <c r="A134" s="194"/>
      <c r="B134" s="429">
        <f t="shared" si="3"/>
        <v>81</v>
      </c>
      <c r="C134" s="750"/>
      <c r="D134" s="751"/>
      <c r="E134" s="751"/>
      <c r="F134" s="751"/>
      <c r="G134" s="751"/>
      <c r="H134" s="751"/>
      <c r="I134" s="751"/>
      <c r="J134" s="751"/>
      <c r="K134" s="751"/>
      <c r="L134" s="752"/>
      <c r="M134" s="753"/>
      <c r="N134" s="753"/>
      <c r="O134" s="753"/>
      <c r="P134" s="753"/>
      <c r="Q134" s="753"/>
      <c r="R134" s="696"/>
      <c r="S134" s="697"/>
      <c r="T134" s="697"/>
      <c r="U134" s="697"/>
      <c r="V134" s="698"/>
      <c r="W134" s="150"/>
      <c r="X134" s="19"/>
      <c r="Y134" s="19"/>
      <c r="Z134" s="21"/>
      <c r="AA134" s="26"/>
      <c r="AB134" s="444" t="str">
        <f t="shared" si="4"/>
        <v/>
      </c>
      <c r="AC134" s="112" t="str">
        <f>IF(Y134="","",IFERROR(INDEX(【参考】数式用2!$G$3:$I$451,MATCH(W134,【参考】数式用2!$F$3:$F$451,0),MATCH(VLOOKUP(Y134,【参考】数式用2!$J$2:$K$26,2,FALSE),【参考】数式用2!$G$2:$I$2,0)),10))</f>
        <v/>
      </c>
      <c r="AD134" s="445"/>
    </row>
    <row r="135" spans="1:30" ht="37.5" customHeight="1">
      <c r="A135" s="194"/>
      <c r="B135" s="429">
        <f t="shared" si="3"/>
        <v>82</v>
      </c>
      <c r="C135" s="750"/>
      <c r="D135" s="751"/>
      <c r="E135" s="751"/>
      <c r="F135" s="751"/>
      <c r="G135" s="751"/>
      <c r="H135" s="751"/>
      <c r="I135" s="751"/>
      <c r="J135" s="751"/>
      <c r="K135" s="751"/>
      <c r="L135" s="752"/>
      <c r="M135" s="753"/>
      <c r="N135" s="753"/>
      <c r="O135" s="753"/>
      <c r="P135" s="753"/>
      <c r="Q135" s="753"/>
      <c r="R135" s="696"/>
      <c r="S135" s="697"/>
      <c r="T135" s="697"/>
      <c r="U135" s="697"/>
      <c r="V135" s="698"/>
      <c r="W135" s="150"/>
      <c r="X135" s="19"/>
      <c r="Y135" s="19"/>
      <c r="Z135" s="21"/>
      <c r="AA135" s="26"/>
      <c r="AB135" s="444" t="str">
        <f t="shared" si="4"/>
        <v/>
      </c>
      <c r="AC135" s="112" t="str">
        <f>IF(Y135="","",IFERROR(INDEX(【参考】数式用2!$G$3:$I$451,MATCH(W135,【参考】数式用2!$F$3:$F$451,0),MATCH(VLOOKUP(Y135,【参考】数式用2!$J$2:$K$26,2,FALSE),【参考】数式用2!$G$2:$I$2,0)),10))</f>
        <v/>
      </c>
      <c r="AD135" s="445"/>
    </row>
    <row r="136" spans="1:30" ht="37.5" customHeight="1">
      <c r="A136" s="194"/>
      <c r="B136" s="429">
        <f t="shared" si="3"/>
        <v>83</v>
      </c>
      <c r="C136" s="750"/>
      <c r="D136" s="751"/>
      <c r="E136" s="751"/>
      <c r="F136" s="751"/>
      <c r="G136" s="751"/>
      <c r="H136" s="751"/>
      <c r="I136" s="751"/>
      <c r="J136" s="751"/>
      <c r="K136" s="751"/>
      <c r="L136" s="752"/>
      <c r="M136" s="753"/>
      <c r="N136" s="753"/>
      <c r="O136" s="753"/>
      <c r="P136" s="753"/>
      <c r="Q136" s="753"/>
      <c r="R136" s="696"/>
      <c r="S136" s="697"/>
      <c r="T136" s="697"/>
      <c r="U136" s="697"/>
      <c r="V136" s="698"/>
      <c r="W136" s="150"/>
      <c r="X136" s="19"/>
      <c r="Y136" s="19"/>
      <c r="Z136" s="21"/>
      <c r="AA136" s="26"/>
      <c r="AB136" s="444" t="str">
        <f t="shared" si="4"/>
        <v/>
      </c>
      <c r="AC136" s="112" t="str">
        <f>IF(Y136="","",IFERROR(INDEX(【参考】数式用2!$G$3:$I$451,MATCH(W136,【参考】数式用2!$F$3:$F$451,0),MATCH(VLOOKUP(Y136,【参考】数式用2!$J$2:$K$26,2,FALSE),【参考】数式用2!$G$2:$I$2,0)),10))</f>
        <v/>
      </c>
      <c r="AD136" s="445"/>
    </row>
    <row r="137" spans="1:30" ht="37.5" customHeight="1">
      <c r="A137" s="194"/>
      <c r="B137" s="429">
        <f t="shared" si="3"/>
        <v>84</v>
      </c>
      <c r="C137" s="750"/>
      <c r="D137" s="751"/>
      <c r="E137" s="751"/>
      <c r="F137" s="751"/>
      <c r="G137" s="751"/>
      <c r="H137" s="751"/>
      <c r="I137" s="751"/>
      <c r="J137" s="751"/>
      <c r="K137" s="751"/>
      <c r="L137" s="752"/>
      <c r="M137" s="753"/>
      <c r="N137" s="753"/>
      <c r="O137" s="753"/>
      <c r="P137" s="753"/>
      <c r="Q137" s="753"/>
      <c r="R137" s="696"/>
      <c r="S137" s="697"/>
      <c r="T137" s="697"/>
      <c r="U137" s="697"/>
      <c r="V137" s="698"/>
      <c r="W137" s="150"/>
      <c r="X137" s="19"/>
      <c r="Y137" s="19"/>
      <c r="Z137" s="21"/>
      <c r="AA137" s="26"/>
      <c r="AB137" s="444" t="str">
        <f t="shared" si="4"/>
        <v/>
      </c>
      <c r="AC137" s="112" t="str">
        <f>IF(Y137="","",IFERROR(INDEX(【参考】数式用2!$G$3:$I$451,MATCH(W137,【参考】数式用2!$F$3:$F$451,0),MATCH(VLOOKUP(Y137,【参考】数式用2!$J$2:$K$26,2,FALSE),【参考】数式用2!$G$2:$I$2,0)),10))</f>
        <v/>
      </c>
      <c r="AD137" s="445"/>
    </row>
    <row r="138" spans="1:30" ht="37.5" customHeight="1">
      <c r="A138" s="194"/>
      <c r="B138" s="429">
        <f t="shared" si="3"/>
        <v>85</v>
      </c>
      <c r="C138" s="750"/>
      <c r="D138" s="751"/>
      <c r="E138" s="751"/>
      <c r="F138" s="751"/>
      <c r="G138" s="751"/>
      <c r="H138" s="751"/>
      <c r="I138" s="751"/>
      <c r="J138" s="751"/>
      <c r="K138" s="751"/>
      <c r="L138" s="752"/>
      <c r="M138" s="753"/>
      <c r="N138" s="753"/>
      <c r="O138" s="753"/>
      <c r="P138" s="753"/>
      <c r="Q138" s="753"/>
      <c r="R138" s="696"/>
      <c r="S138" s="697"/>
      <c r="T138" s="697"/>
      <c r="U138" s="697"/>
      <c r="V138" s="698"/>
      <c r="W138" s="150"/>
      <c r="X138" s="19"/>
      <c r="Y138" s="19"/>
      <c r="Z138" s="21"/>
      <c r="AA138" s="26"/>
      <c r="AB138" s="444" t="str">
        <f t="shared" si="4"/>
        <v/>
      </c>
      <c r="AC138" s="112" t="str">
        <f>IF(Y138="","",IFERROR(INDEX(【参考】数式用2!$G$3:$I$451,MATCH(W138,【参考】数式用2!$F$3:$F$451,0),MATCH(VLOOKUP(Y138,【参考】数式用2!$J$2:$K$26,2,FALSE),【参考】数式用2!$G$2:$I$2,0)),10))</f>
        <v/>
      </c>
      <c r="AD138" s="445"/>
    </row>
    <row r="139" spans="1:30" ht="37.5" customHeight="1">
      <c r="A139" s="194"/>
      <c r="B139" s="429">
        <f t="shared" si="3"/>
        <v>86</v>
      </c>
      <c r="C139" s="750"/>
      <c r="D139" s="751"/>
      <c r="E139" s="751"/>
      <c r="F139" s="751"/>
      <c r="G139" s="751"/>
      <c r="H139" s="751"/>
      <c r="I139" s="751"/>
      <c r="J139" s="751"/>
      <c r="K139" s="751"/>
      <c r="L139" s="752"/>
      <c r="M139" s="753"/>
      <c r="N139" s="753"/>
      <c r="O139" s="753"/>
      <c r="P139" s="753"/>
      <c r="Q139" s="753"/>
      <c r="R139" s="696"/>
      <c r="S139" s="697"/>
      <c r="T139" s="697"/>
      <c r="U139" s="697"/>
      <c r="V139" s="698"/>
      <c r="W139" s="150"/>
      <c r="X139" s="19"/>
      <c r="Y139" s="19"/>
      <c r="Z139" s="21"/>
      <c r="AA139" s="26"/>
      <c r="AB139" s="444" t="str">
        <f t="shared" si="4"/>
        <v/>
      </c>
      <c r="AC139" s="112" t="str">
        <f>IF(Y139="","",IFERROR(INDEX(【参考】数式用2!$G$3:$I$451,MATCH(W139,【参考】数式用2!$F$3:$F$451,0),MATCH(VLOOKUP(Y139,【参考】数式用2!$J$2:$K$26,2,FALSE),【参考】数式用2!$G$2:$I$2,0)),10))</f>
        <v/>
      </c>
      <c r="AD139" s="445"/>
    </row>
    <row r="140" spans="1:30" ht="37.5" customHeight="1">
      <c r="A140" s="194"/>
      <c r="B140" s="429">
        <f t="shared" si="3"/>
        <v>87</v>
      </c>
      <c r="C140" s="750"/>
      <c r="D140" s="751"/>
      <c r="E140" s="751"/>
      <c r="F140" s="751"/>
      <c r="G140" s="751"/>
      <c r="H140" s="751"/>
      <c r="I140" s="751"/>
      <c r="J140" s="751"/>
      <c r="K140" s="751"/>
      <c r="L140" s="752"/>
      <c r="M140" s="753"/>
      <c r="N140" s="753"/>
      <c r="O140" s="753"/>
      <c r="P140" s="753"/>
      <c r="Q140" s="753"/>
      <c r="R140" s="696"/>
      <c r="S140" s="697"/>
      <c r="T140" s="697"/>
      <c r="U140" s="697"/>
      <c r="V140" s="698"/>
      <c r="W140" s="150"/>
      <c r="X140" s="19"/>
      <c r="Y140" s="19"/>
      <c r="Z140" s="21"/>
      <c r="AA140" s="26"/>
      <c r="AB140" s="444" t="str">
        <f t="shared" si="4"/>
        <v/>
      </c>
      <c r="AC140" s="112" t="str">
        <f>IF(Y140="","",IFERROR(INDEX(【参考】数式用2!$G$3:$I$451,MATCH(W140,【参考】数式用2!$F$3:$F$451,0),MATCH(VLOOKUP(Y140,【参考】数式用2!$J$2:$K$26,2,FALSE),【参考】数式用2!$G$2:$I$2,0)),10))</f>
        <v/>
      </c>
      <c r="AD140" s="445"/>
    </row>
    <row r="141" spans="1:30" ht="37.5" customHeight="1">
      <c r="A141" s="194"/>
      <c r="B141" s="429">
        <f t="shared" si="3"/>
        <v>88</v>
      </c>
      <c r="C141" s="750"/>
      <c r="D141" s="751"/>
      <c r="E141" s="751"/>
      <c r="F141" s="751"/>
      <c r="G141" s="751"/>
      <c r="H141" s="751"/>
      <c r="I141" s="751"/>
      <c r="J141" s="751"/>
      <c r="K141" s="751"/>
      <c r="L141" s="752"/>
      <c r="M141" s="753"/>
      <c r="N141" s="753"/>
      <c r="O141" s="753"/>
      <c r="P141" s="753"/>
      <c r="Q141" s="753"/>
      <c r="R141" s="696"/>
      <c r="S141" s="697"/>
      <c r="T141" s="697"/>
      <c r="U141" s="697"/>
      <c r="V141" s="698"/>
      <c r="W141" s="150"/>
      <c r="X141" s="19"/>
      <c r="Y141" s="19"/>
      <c r="Z141" s="21"/>
      <c r="AA141" s="26"/>
      <c r="AB141" s="444" t="str">
        <f t="shared" si="4"/>
        <v/>
      </c>
      <c r="AC141" s="112" t="str">
        <f>IF(Y141="","",IFERROR(INDEX(【参考】数式用2!$G$3:$I$451,MATCH(W141,【参考】数式用2!$F$3:$F$451,0),MATCH(VLOOKUP(Y141,【参考】数式用2!$J$2:$K$26,2,FALSE),【参考】数式用2!$G$2:$I$2,0)),10))</f>
        <v/>
      </c>
      <c r="AD141" s="445"/>
    </row>
    <row r="142" spans="1:30" ht="37.5" customHeight="1">
      <c r="A142" s="194"/>
      <c r="B142" s="429">
        <f t="shared" si="3"/>
        <v>89</v>
      </c>
      <c r="C142" s="750"/>
      <c r="D142" s="751"/>
      <c r="E142" s="751"/>
      <c r="F142" s="751"/>
      <c r="G142" s="751"/>
      <c r="H142" s="751"/>
      <c r="I142" s="751"/>
      <c r="J142" s="751"/>
      <c r="K142" s="751"/>
      <c r="L142" s="752"/>
      <c r="M142" s="753"/>
      <c r="N142" s="753"/>
      <c r="O142" s="753"/>
      <c r="P142" s="753"/>
      <c r="Q142" s="753"/>
      <c r="R142" s="696"/>
      <c r="S142" s="697"/>
      <c r="T142" s="697"/>
      <c r="U142" s="697"/>
      <c r="V142" s="698"/>
      <c r="W142" s="150"/>
      <c r="X142" s="19"/>
      <c r="Y142" s="19"/>
      <c r="Z142" s="21"/>
      <c r="AA142" s="26"/>
      <c r="AB142" s="444" t="str">
        <f t="shared" si="4"/>
        <v/>
      </c>
      <c r="AC142" s="112" t="str">
        <f>IF(Y142="","",IFERROR(INDEX(【参考】数式用2!$G$3:$I$451,MATCH(W142,【参考】数式用2!$F$3:$F$451,0),MATCH(VLOOKUP(Y142,【参考】数式用2!$J$2:$K$26,2,FALSE),【参考】数式用2!$G$2:$I$2,0)),10))</f>
        <v/>
      </c>
      <c r="AD142" s="445"/>
    </row>
    <row r="143" spans="1:30" ht="37.5" customHeight="1">
      <c r="A143" s="194"/>
      <c r="B143" s="429">
        <f t="shared" si="3"/>
        <v>90</v>
      </c>
      <c r="C143" s="750"/>
      <c r="D143" s="751"/>
      <c r="E143" s="751"/>
      <c r="F143" s="751"/>
      <c r="G143" s="751"/>
      <c r="H143" s="751"/>
      <c r="I143" s="751"/>
      <c r="J143" s="751"/>
      <c r="K143" s="751"/>
      <c r="L143" s="752"/>
      <c r="M143" s="753"/>
      <c r="N143" s="753"/>
      <c r="O143" s="753"/>
      <c r="P143" s="753"/>
      <c r="Q143" s="753"/>
      <c r="R143" s="696"/>
      <c r="S143" s="697"/>
      <c r="T143" s="697"/>
      <c r="U143" s="697"/>
      <c r="V143" s="698"/>
      <c r="W143" s="150"/>
      <c r="X143" s="19"/>
      <c r="Y143" s="19"/>
      <c r="Z143" s="21"/>
      <c r="AA143" s="26"/>
      <c r="AB143" s="444" t="str">
        <f t="shared" si="4"/>
        <v/>
      </c>
      <c r="AC143" s="112" t="str">
        <f>IF(Y143="","",IFERROR(INDEX(【参考】数式用2!$G$3:$I$451,MATCH(W143,【参考】数式用2!$F$3:$F$451,0),MATCH(VLOOKUP(Y143,【参考】数式用2!$J$2:$K$26,2,FALSE),【参考】数式用2!$G$2:$I$2,0)),10))</f>
        <v/>
      </c>
      <c r="AD143" s="445"/>
    </row>
    <row r="144" spans="1:30" ht="37.5" customHeight="1">
      <c r="A144" s="194"/>
      <c r="B144" s="429">
        <f t="shared" si="3"/>
        <v>91</v>
      </c>
      <c r="C144" s="750"/>
      <c r="D144" s="751"/>
      <c r="E144" s="751"/>
      <c r="F144" s="751"/>
      <c r="G144" s="751"/>
      <c r="H144" s="751"/>
      <c r="I144" s="751"/>
      <c r="J144" s="751"/>
      <c r="K144" s="751"/>
      <c r="L144" s="752"/>
      <c r="M144" s="753"/>
      <c r="N144" s="753"/>
      <c r="O144" s="753"/>
      <c r="P144" s="753"/>
      <c r="Q144" s="753"/>
      <c r="R144" s="696"/>
      <c r="S144" s="697"/>
      <c r="T144" s="697"/>
      <c r="U144" s="697"/>
      <c r="V144" s="698"/>
      <c r="W144" s="150"/>
      <c r="X144" s="19"/>
      <c r="Y144" s="19"/>
      <c r="Z144" s="21"/>
      <c r="AA144" s="26"/>
      <c r="AB144" s="444" t="str">
        <f t="shared" si="4"/>
        <v/>
      </c>
      <c r="AC144" s="112" t="str">
        <f>IF(Y144="","",IFERROR(INDEX(【参考】数式用2!$G$3:$I$451,MATCH(W144,【参考】数式用2!$F$3:$F$451,0),MATCH(VLOOKUP(Y144,【参考】数式用2!$J$2:$K$26,2,FALSE),【参考】数式用2!$G$2:$I$2,0)),10))</f>
        <v/>
      </c>
      <c r="AD144" s="445"/>
    </row>
    <row r="145" spans="1:30" ht="37.5" customHeight="1">
      <c r="A145" s="194"/>
      <c r="B145" s="429">
        <f t="shared" si="3"/>
        <v>92</v>
      </c>
      <c r="C145" s="750"/>
      <c r="D145" s="751"/>
      <c r="E145" s="751"/>
      <c r="F145" s="751"/>
      <c r="G145" s="751"/>
      <c r="H145" s="751"/>
      <c r="I145" s="751"/>
      <c r="J145" s="751"/>
      <c r="K145" s="751"/>
      <c r="L145" s="752"/>
      <c r="M145" s="753"/>
      <c r="N145" s="753"/>
      <c r="O145" s="753"/>
      <c r="P145" s="753"/>
      <c r="Q145" s="753"/>
      <c r="R145" s="696"/>
      <c r="S145" s="697"/>
      <c r="T145" s="697"/>
      <c r="U145" s="697"/>
      <c r="V145" s="698"/>
      <c r="W145" s="150"/>
      <c r="X145" s="19"/>
      <c r="Y145" s="19"/>
      <c r="Z145" s="21"/>
      <c r="AA145" s="26"/>
      <c r="AB145" s="444" t="str">
        <f t="shared" si="4"/>
        <v/>
      </c>
      <c r="AC145" s="112" t="str">
        <f>IF(Y145="","",IFERROR(INDEX(【参考】数式用2!$G$3:$I$451,MATCH(W145,【参考】数式用2!$F$3:$F$451,0),MATCH(VLOOKUP(Y145,【参考】数式用2!$J$2:$K$26,2,FALSE),【参考】数式用2!$G$2:$I$2,0)),10))</f>
        <v/>
      </c>
      <c r="AD145" s="445"/>
    </row>
    <row r="146" spans="1:30" ht="37.5" customHeight="1">
      <c r="A146" s="194"/>
      <c r="B146" s="429">
        <f t="shared" ref="B146:B151" si="5">B145+1</f>
        <v>93</v>
      </c>
      <c r="C146" s="750"/>
      <c r="D146" s="751"/>
      <c r="E146" s="751"/>
      <c r="F146" s="751"/>
      <c r="G146" s="751"/>
      <c r="H146" s="751"/>
      <c r="I146" s="751"/>
      <c r="J146" s="751"/>
      <c r="K146" s="751"/>
      <c r="L146" s="752"/>
      <c r="M146" s="753"/>
      <c r="N146" s="753"/>
      <c r="O146" s="753"/>
      <c r="P146" s="753"/>
      <c r="Q146" s="753"/>
      <c r="R146" s="696"/>
      <c r="S146" s="697"/>
      <c r="T146" s="697"/>
      <c r="U146" s="697"/>
      <c r="V146" s="698"/>
      <c r="W146" s="150"/>
      <c r="X146" s="19"/>
      <c r="Y146" s="19"/>
      <c r="Z146" s="21"/>
      <c r="AA146" s="26"/>
      <c r="AB146" s="444" t="str">
        <f t="shared" si="4"/>
        <v/>
      </c>
      <c r="AC146" s="112" t="str">
        <f>IF(Y146="","",IFERROR(INDEX(【参考】数式用2!$G$3:$I$451,MATCH(W146,【参考】数式用2!$F$3:$F$451,0),MATCH(VLOOKUP(Y146,【参考】数式用2!$J$2:$K$26,2,FALSE),【参考】数式用2!$G$2:$I$2,0)),10))</f>
        <v/>
      </c>
      <c r="AD146" s="445"/>
    </row>
    <row r="147" spans="1:30" ht="37.5" customHeight="1">
      <c r="A147" s="194"/>
      <c r="B147" s="429">
        <f t="shared" si="5"/>
        <v>94</v>
      </c>
      <c r="C147" s="750"/>
      <c r="D147" s="751"/>
      <c r="E147" s="751"/>
      <c r="F147" s="751"/>
      <c r="G147" s="751"/>
      <c r="H147" s="751"/>
      <c r="I147" s="751"/>
      <c r="J147" s="751"/>
      <c r="K147" s="751"/>
      <c r="L147" s="752"/>
      <c r="M147" s="753"/>
      <c r="N147" s="753"/>
      <c r="O147" s="753"/>
      <c r="P147" s="753"/>
      <c r="Q147" s="753"/>
      <c r="R147" s="696"/>
      <c r="S147" s="697"/>
      <c r="T147" s="697"/>
      <c r="U147" s="697"/>
      <c r="V147" s="698"/>
      <c r="W147" s="150"/>
      <c r="X147" s="19"/>
      <c r="Y147" s="19"/>
      <c r="Z147" s="21"/>
      <c r="AA147" s="26"/>
      <c r="AB147" s="444" t="str">
        <f t="shared" si="4"/>
        <v/>
      </c>
      <c r="AC147" s="112" t="str">
        <f>IF(Y147="","",IFERROR(INDEX(【参考】数式用2!$G$3:$I$451,MATCH(W147,【参考】数式用2!$F$3:$F$451,0),MATCH(VLOOKUP(Y147,【参考】数式用2!$J$2:$K$26,2,FALSE),【参考】数式用2!$G$2:$I$2,0)),10))</f>
        <v/>
      </c>
      <c r="AD147" s="445"/>
    </row>
    <row r="148" spans="1:30" ht="37.5" customHeight="1">
      <c r="A148" s="194"/>
      <c r="B148" s="429">
        <f t="shared" si="5"/>
        <v>95</v>
      </c>
      <c r="C148" s="750"/>
      <c r="D148" s="751"/>
      <c r="E148" s="751"/>
      <c r="F148" s="751"/>
      <c r="G148" s="751"/>
      <c r="H148" s="751"/>
      <c r="I148" s="751"/>
      <c r="J148" s="751"/>
      <c r="K148" s="751"/>
      <c r="L148" s="752"/>
      <c r="M148" s="753"/>
      <c r="N148" s="753"/>
      <c r="O148" s="753"/>
      <c r="P148" s="753"/>
      <c r="Q148" s="753"/>
      <c r="R148" s="696"/>
      <c r="S148" s="697"/>
      <c r="T148" s="697"/>
      <c r="U148" s="697"/>
      <c r="V148" s="698"/>
      <c r="W148" s="150"/>
      <c r="X148" s="19"/>
      <c r="Y148" s="19"/>
      <c r="Z148" s="21"/>
      <c r="AA148" s="26"/>
      <c r="AB148" s="444" t="str">
        <f t="shared" si="4"/>
        <v/>
      </c>
      <c r="AC148" s="112" t="str">
        <f>IF(Y148="","",IFERROR(INDEX(【参考】数式用2!$G$3:$I$451,MATCH(W148,【参考】数式用2!$F$3:$F$451,0),MATCH(VLOOKUP(Y148,【参考】数式用2!$J$2:$K$26,2,FALSE),【参考】数式用2!$G$2:$I$2,0)),10))</f>
        <v/>
      </c>
      <c r="AD148" s="445"/>
    </row>
    <row r="149" spans="1:30" ht="37.5" customHeight="1">
      <c r="A149" s="194"/>
      <c r="B149" s="429">
        <f t="shared" si="5"/>
        <v>96</v>
      </c>
      <c r="C149" s="750"/>
      <c r="D149" s="751"/>
      <c r="E149" s="751"/>
      <c r="F149" s="751"/>
      <c r="G149" s="751"/>
      <c r="H149" s="751"/>
      <c r="I149" s="751"/>
      <c r="J149" s="751"/>
      <c r="K149" s="751"/>
      <c r="L149" s="752"/>
      <c r="M149" s="753"/>
      <c r="N149" s="753"/>
      <c r="O149" s="753"/>
      <c r="P149" s="753"/>
      <c r="Q149" s="753"/>
      <c r="R149" s="696"/>
      <c r="S149" s="697"/>
      <c r="T149" s="697"/>
      <c r="U149" s="697"/>
      <c r="V149" s="698"/>
      <c r="W149" s="150"/>
      <c r="X149" s="19"/>
      <c r="Y149" s="19"/>
      <c r="Z149" s="21"/>
      <c r="AA149" s="26"/>
      <c r="AB149" s="444" t="str">
        <f t="shared" si="4"/>
        <v/>
      </c>
      <c r="AC149" s="112" t="str">
        <f>IF(Y149="","",IFERROR(INDEX(【参考】数式用2!$G$3:$I$451,MATCH(W149,【参考】数式用2!$F$3:$F$451,0),MATCH(VLOOKUP(Y149,【参考】数式用2!$J$2:$K$26,2,FALSE),【参考】数式用2!$G$2:$I$2,0)),10))</f>
        <v/>
      </c>
      <c r="AD149" s="445"/>
    </row>
    <row r="150" spans="1:30" ht="37.5" customHeight="1">
      <c r="A150" s="194"/>
      <c r="B150" s="429">
        <f t="shared" si="5"/>
        <v>97</v>
      </c>
      <c r="C150" s="750"/>
      <c r="D150" s="751"/>
      <c r="E150" s="751"/>
      <c r="F150" s="751"/>
      <c r="G150" s="751"/>
      <c r="H150" s="751"/>
      <c r="I150" s="751"/>
      <c r="J150" s="751"/>
      <c r="K150" s="751"/>
      <c r="L150" s="752"/>
      <c r="M150" s="753"/>
      <c r="N150" s="753"/>
      <c r="O150" s="753"/>
      <c r="P150" s="753"/>
      <c r="Q150" s="753"/>
      <c r="R150" s="696"/>
      <c r="S150" s="697"/>
      <c r="T150" s="697"/>
      <c r="U150" s="697"/>
      <c r="V150" s="698"/>
      <c r="W150" s="150"/>
      <c r="X150" s="19"/>
      <c r="Y150" s="19"/>
      <c r="Z150" s="21"/>
      <c r="AA150" s="26"/>
      <c r="AB150" s="444" t="str">
        <f t="shared" si="4"/>
        <v/>
      </c>
      <c r="AC150" s="112" t="str">
        <f>IF(Y150="","",IFERROR(INDEX(【参考】数式用2!$G$3:$I$451,MATCH(W150,【参考】数式用2!$F$3:$F$451,0),MATCH(VLOOKUP(Y150,【参考】数式用2!$J$2:$K$26,2,FALSE),【参考】数式用2!$G$2:$I$2,0)),10))</f>
        <v/>
      </c>
      <c r="AD150" s="445"/>
    </row>
    <row r="151" spans="1:30" ht="37.5" customHeight="1">
      <c r="A151" s="194"/>
      <c r="B151" s="429">
        <f t="shared" si="5"/>
        <v>98</v>
      </c>
      <c r="C151" s="750"/>
      <c r="D151" s="751"/>
      <c r="E151" s="751"/>
      <c r="F151" s="751"/>
      <c r="G151" s="751"/>
      <c r="H151" s="751"/>
      <c r="I151" s="751"/>
      <c r="J151" s="751"/>
      <c r="K151" s="751"/>
      <c r="L151" s="752"/>
      <c r="M151" s="753"/>
      <c r="N151" s="753"/>
      <c r="O151" s="753"/>
      <c r="P151" s="753"/>
      <c r="Q151" s="753"/>
      <c r="R151" s="696"/>
      <c r="S151" s="697"/>
      <c r="T151" s="697"/>
      <c r="U151" s="697"/>
      <c r="V151" s="698"/>
      <c r="W151" s="150"/>
      <c r="X151" s="19"/>
      <c r="Y151" s="19"/>
      <c r="Z151" s="21"/>
      <c r="AA151" s="26"/>
      <c r="AB151" s="444" t="str">
        <f t="shared" si="4"/>
        <v/>
      </c>
      <c r="AC151" s="112" t="str">
        <f>IF(Y151="","",IFERROR(INDEX(【参考】数式用2!$G$3:$I$451,MATCH(W151,【参考】数式用2!$F$3:$F$451,0),MATCH(VLOOKUP(Y151,【参考】数式用2!$J$2:$K$26,2,FALSE),【参考】数式用2!$G$2:$I$2,0)),10))</f>
        <v/>
      </c>
      <c r="AD151" s="445"/>
    </row>
    <row r="152" spans="1:30" ht="37.5" customHeight="1">
      <c r="A152" s="194"/>
      <c r="B152" s="429">
        <f>B151+1</f>
        <v>99</v>
      </c>
      <c r="C152" s="750"/>
      <c r="D152" s="751"/>
      <c r="E152" s="751"/>
      <c r="F152" s="751"/>
      <c r="G152" s="751"/>
      <c r="H152" s="751"/>
      <c r="I152" s="751"/>
      <c r="J152" s="751"/>
      <c r="K152" s="751"/>
      <c r="L152" s="752"/>
      <c r="M152" s="753"/>
      <c r="N152" s="753"/>
      <c r="O152" s="753"/>
      <c r="P152" s="753"/>
      <c r="Q152" s="753"/>
      <c r="R152" s="696"/>
      <c r="S152" s="697"/>
      <c r="T152" s="697"/>
      <c r="U152" s="697"/>
      <c r="V152" s="698"/>
      <c r="W152" s="150"/>
      <c r="X152" s="19"/>
      <c r="Y152" s="19"/>
      <c r="Z152" s="21"/>
      <c r="AA152" s="26"/>
      <c r="AB152" s="444" t="str">
        <f t="shared" si="4"/>
        <v/>
      </c>
      <c r="AC152" s="112" t="str">
        <f>IF(Y152="","",IFERROR(INDEX(【参考】数式用2!$G$3:$I$451,MATCH(W152,【参考】数式用2!$F$3:$F$451,0),MATCH(VLOOKUP(Y152,【参考】数式用2!$J$2:$K$26,2,FALSE),【参考】数式用2!$G$2:$I$2,0)),10))</f>
        <v/>
      </c>
      <c r="AD152" s="445"/>
    </row>
    <row r="153" spans="1:30" ht="37.5" customHeight="1" thickBot="1">
      <c r="A153" s="194"/>
      <c r="B153" s="429">
        <f>B152+1</f>
        <v>100</v>
      </c>
      <c r="C153" s="777"/>
      <c r="D153" s="778"/>
      <c r="E153" s="778"/>
      <c r="F153" s="778"/>
      <c r="G153" s="778"/>
      <c r="H153" s="778"/>
      <c r="I153" s="778"/>
      <c r="J153" s="778"/>
      <c r="K153" s="778"/>
      <c r="L153" s="779"/>
      <c r="M153" s="769"/>
      <c r="N153" s="769"/>
      <c r="O153" s="769"/>
      <c r="P153" s="769"/>
      <c r="Q153" s="769"/>
      <c r="R153" s="706"/>
      <c r="S153" s="707"/>
      <c r="T153" s="707"/>
      <c r="U153" s="707"/>
      <c r="V153" s="708"/>
      <c r="W153" s="681"/>
      <c r="X153" s="22"/>
      <c r="Y153" s="22"/>
      <c r="Z153" s="156"/>
      <c r="AA153" s="157"/>
      <c r="AB153" s="446" t="str">
        <f t="shared" si="4"/>
        <v/>
      </c>
      <c r="AC153" s="113" t="str">
        <f>IF(Y153="","",IFERROR(INDEX(【参考】数式用2!$G$3:$I$451,MATCH(W153,【参考】数式用2!$F$3:$F$451,0),MATCH(VLOOKUP(Y153,【参考】数式用2!$J$2:$K$26,2,FALSE),【参考】数式用2!$G$2:$I$2,0)),10))</f>
        <v/>
      </c>
      <c r="AD153" s="445"/>
    </row>
  </sheetData>
  <sheetProtection algorithmName="SHA-512" hashValue="2HqM81PYyyVOfBAm0MchDLpTmfBgSX7OAcycsNfYwJHdoTiW1UpOgw0ER4vX8u4/NEjVvW8VAF6HcAF2jUmX7w==" saltValue="D+UDsYqlRoRKqvJPXc5uhg==" spinCount="100000" sheet="1" formatCells="0" formatColumns="0" formatRows="0" sort="0" autoFilter="0"/>
  <mergeCells count="33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15:L115"/>
    <mergeCell ref="C116:L11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R93:V93"/>
    <mergeCell ref="M109:Q109"/>
    <mergeCell ref="M110:Q110"/>
    <mergeCell ref="M111:Q111"/>
    <mergeCell ref="M112:Q112"/>
    <mergeCell ref="M113:Q113"/>
    <mergeCell ref="M114:Q114"/>
    <mergeCell ref="M115:Q115"/>
    <mergeCell ref="M116:Q116"/>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R152:V152"/>
    <mergeCell ref="R151:V151"/>
    <mergeCell ref="R150:V150"/>
    <mergeCell ref="R149:V149"/>
    <mergeCell ref="R148:V148"/>
    <mergeCell ref="R147:V147"/>
    <mergeCell ref="R146:V146"/>
    <mergeCell ref="R145:V145"/>
    <mergeCell ref="R144:V144"/>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 type="list" allowBlank="1" showInputMessage="1" showErrorMessage="1" sqref="W54:W153" xr:uid="{D3791FA7-10C0-4FD5-8F39-6A0FEEE2EE9A}">
      <formula1>INDIRECT(R54)</formula1>
    </dataValidation>
  </dataValidations>
  <pageMargins left="0.70866141732283472" right="0.70866141732283472" top="0.74803149606299213" bottom="0.74803149606299213" header="0.31496062992125984" footer="0.31496062992125984"/>
  <pageSetup paperSize="9" scale="40"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r:uid="{00000000-0002-0000-0100-000000000000}">
          <x14:formula1>
            <xm:f>【参考】数式用!$A$5:$A$27</xm:f>
          </x14:formula1>
          <xm:sqref>Y54:Y153</xm:sqref>
        </x14:dataValidation>
        <x14:dataValidation type="list" allowBlank="1" showInputMessage="1" showErrorMessage="1" xr:uid="{BADA6D54-6403-4D78-B99B-F4FAA39379FC}">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249"/>
  <sheetViews>
    <sheetView view="pageBreakPreview" zoomScale="85" zoomScaleNormal="120" zoomScaleSheetLayoutView="85" zoomScalePageLayoutView="64" workbookViewId="0"/>
  </sheetViews>
  <sheetFormatPr defaultColWidth="9" defaultRowHeight="13.5"/>
  <cols>
    <col min="1" max="1" width="2.125" style="163" customWidth="1"/>
    <col min="2" max="2" width="3.125" style="163" customWidth="1"/>
    <col min="3" max="7" width="2.625" style="163" customWidth="1"/>
    <col min="8" max="36" width="2.5" style="163" customWidth="1"/>
    <col min="37" max="37" width="2.875" style="163" customWidth="1"/>
    <col min="38" max="38" width="2.5" style="163" customWidth="1"/>
    <col min="39" max="39" width="6.875" style="163" customWidth="1"/>
    <col min="40" max="43" width="5.375" style="163" customWidth="1"/>
    <col min="44" max="44" width="7.375" style="163" customWidth="1"/>
    <col min="45" max="48" width="5.375" style="163" customWidth="1"/>
    <col min="49" max="51" width="5.5" style="163" customWidth="1"/>
    <col min="52" max="52" width="5.875" style="163" customWidth="1"/>
    <col min="53" max="53" width="6" style="163" customWidth="1"/>
    <col min="54" max="54" width="5.625" style="163" customWidth="1"/>
    <col min="55" max="63" width="4.125" style="163" customWidth="1"/>
    <col min="64" max="65" width="9" style="163"/>
    <col min="66" max="66" width="9" style="163" customWidth="1"/>
    <col min="67" max="16384" width="9" style="163"/>
  </cols>
  <sheetData>
    <row r="1" spans="1:39" ht="18.75" customHeight="1">
      <c r="A1" s="160"/>
      <c r="B1" s="487" t="s">
        <v>2209</v>
      </c>
      <c r="C1" s="162"/>
      <c r="D1" s="162"/>
      <c r="E1" s="162"/>
      <c r="F1" s="162"/>
      <c r="G1" s="162"/>
      <c r="H1" s="162"/>
      <c r="I1" s="162"/>
      <c r="J1" s="162"/>
      <c r="K1" s="162"/>
      <c r="L1" s="162"/>
      <c r="M1" s="162"/>
      <c r="N1" s="162"/>
      <c r="O1" s="162"/>
      <c r="P1" s="162"/>
      <c r="Q1" s="162"/>
      <c r="R1" s="162"/>
      <c r="S1" s="162"/>
      <c r="T1" s="162"/>
      <c r="U1" s="162"/>
      <c r="V1" s="162"/>
      <c r="W1" s="162"/>
      <c r="X1" s="162"/>
      <c r="Y1" s="162"/>
      <c r="Z1" s="1105" t="s">
        <v>54</v>
      </c>
      <c r="AA1" s="1105"/>
      <c r="AB1" s="1105"/>
      <c r="AC1" s="1105"/>
      <c r="AD1" s="1105" t="str">
        <f>IF(基本情報入力シート!C33="","",基本情報入力シート!C33)</f>
        <v/>
      </c>
      <c r="AE1" s="1105"/>
      <c r="AF1" s="1105"/>
      <c r="AG1" s="1105"/>
      <c r="AH1" s="1105"/>
      <c r="AI1" s="1105"/>
      <c r="AJ1" s="1105"/>
      <c r="AK1" s="1105"/>
      <c r="AL1" s="160"/>
    </row>
    <row r="2" spans="1:39" ht="10.5" customHeight="1">
      <c r="A2" s="160"/>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0"/>
    </row>
    <row r="3" spans="1:39" ht="24" customHeight="1">
      <c r="A3" s="160"/>
      <c r="B3" s="1121" t="s">
        <v>2102</v>
      </c>
      <c r="C3" s="1121"/>
      <c r="D3" s="1121"/>
      <c r="E3" s="1121"/>
      <c r="F3" s="1121"/>
      <c r="G3" s="1121"/>
      <c r="H3" s="1121"/>
      <c r="I3" s="1121"/>
      <c r="J3" s="1121"/>
      <c r="K3" s="1121"/>
      <c r="L3" s="1121"/>
      <c r="M3" s="1121"/>
      <c r="N3" s="1121"/>
      <c r="O3" s="1121"/>
      <c r="P3" s="1121"/>
      <c r="Q3" s="1121"/>
      <c r="R3" s="1121"/>
      <c r="S3" s="1121"/>
      <c r="T3" s="1121"/>
      <c r="U3" s="1121"/>
      <c r="V3" s="1121"/>
      <c r="W3" s="1121"/>
      <c r="X3" s="1121"/>
      <c r="Y3" s="1121"/>
      <c r="Z3" s="1121"/>
      <c r="AA3" s="1121"/>
      <c r="AB3" s="1121"/>
      <c r="AC3" s="1121"/>
      <c r="AD3" s="1121"/>
      <c r="AE3" s="1121"/>
      <c r="AF3" s="1121"/>
      <c r="AG3" s="1121"/>
      <c r="AH3" s="1121"/>
      <c r="AI3" s="1121"/>
      <c r="AJ3" s="1121"/>
      <c r="AK3" s="1121"/>
      <c r="AL3" s="164"/>
      <c r="AM3" s="165"/>
    </row>
    <row r="4" spans="1:39" ht="9" customHeight="1">
      <c r="A4" s="160"/>
      <c r="B4" s="166"/>
      <c r="C4" s="167"/>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0"/>
    </row>
    <row r="5" spans="1:39" ht="19.5" customHeight="1">
      <c r="A5" s="160"/>
      <c r="B5" s="168" t="s">
        <v>2131</v>
      </c>
      <c r="C5" s="168"/>
      <c r="D5" s="168"/>
      <c r="E5" s="168"/>
      <c r="F5" s="168"/>
      <c r="G5" s="168"/>
      <c r="H5" s="168"/>
      <c r="I5" s="168"/>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0"/>
    </row>
    <row r="6" spans="1:39" s="171" customFormat="1" ht="13.5" customHeight="1">
      <c r="A6" s="170"/>
      <c r="B6" s="1109" t="s">
        <v>72</v>
      </c>
      <c r="C6" s="1110"/>
      <c r="D6" s="1110"/>
      <c r="E6" s="1110"/>
      <c r="F6" s="1110"/>
      <c r="G6" s="1111"/>
      <c r="H6" s="1112" t="str">
        <f>IF(基本情報入力シート!M37="","",基本情報入力シート!M37)</f>
        <v/>
      </c>
      <c r="I6" s="1112"/>
      <c r="J6" s="1112"/>
      <c r="K6" s="1112"/>
      <c r="L6" s="1112"/>
      <c r="M6" s="1112"/>
      <c r="N6" s="1112"/>
      <c r="O6" s="1112"/>
      <c r="P6" s="1112"/>
      <c r="Q6" s="1112"/>
      <c r="R6" s="1112"/>
      <c r="S6" s="1112"/>
      <c r="T6" s="1112"/>
      <c r="U6" s="1112"/>
      <c r="V6" s="1112"/>
      <c r="W6" s="1112"/>
      <c r="X6" s="1112"/>
      <c r="Y6" s="1112"/>
      <c r="Z6" s="1112"/>
      <c r="AA6" s="1112"/>
      <c r="AB6" s="1112"/>
      <c r="AC6" s="1112"/>
      <c r="AD6" s="1112"/>
      <c r="AE6" s="1112"/>
      <c r="AF6" s="1112"/>
      <c r="AG6" s="1112"/>
      <c r="AH6" s="1112"/>
      <c r="AI6" s="1112"/>
      <c r="AJ6" s="1112"/>
      <c r="AK6" s="1113"/>
      <c r="AL6" s="170"/>
    </row>
    <row r="7" spans="1:39" s="171" customFormat="1" ht="25.5" customHeight="1">
      <c r="A7" s="170"/>
      <c r="B7" s="1116" t="s">
        <v>71</v>
      </c>
      <c r="C7" s="1117"/>
      <c r="D7" s="1117"/>
      <c r="E7" s="1117"/>
      <c r="F7" s="1117"/>
      <c r="G7" s="1118"/>
      <c r="H7" s="1114" t="str">
        <f>IF(基本情報入力シート!M38="","",基本情報入力シート!M38)</f>
        <v/>
      </c>
      <c r="I7" s="1114"/>
      <c r="J7" s="1114"/>
      <c r="K7" s="1114"/>
      <c r="L7" s="1114"/>
      <c r="M7" s="1114"/>
      <c r="N7" s="1114"/>
      <c r="O7" s="1114"/>
      <c r="P7" s="1114"/>
      <c r="Q7" s="1114"/>
      <c r="R7" s="1114"/>
      <c r="S7" s="1114"/>
      <c r="T7" s="1114"/>
      <c r="U7" s="1114"/>
      <c r="V7" s="1114"/>
      <c r="W7" s="1114"/>
      <c r="X7" s="1114"/>
      <c r="Y7" s="1114"/>
      <c r="Z7" s="1114"/>
      <c r="AA7" s="1114"/>
      <c r="AB7" s="1114"/>
      <c r="AC7" s="1114"/>
      <c r="AD7" s="1114"/>
      <c r="AE7" s="1114"/>
      <c r="AF7" s="1114"/>
      <c r="AG7" s="1114"/>
      <c r="AH7" s="1114"/>
      <c r="AI7" s="1114"/>
      <c r="AJ7" s="1114"/>
      <c r="AK7" s="1115"/>
      <c r="AL7" s="170"/>
    </row>
    <row r="8" spans="1:39" s="171" customFormat="1" ht="12.75" customHeight="1">
      <c r="A8" s="170"/>
      <c r="B8" s="1081" t="s">
        <v>75</v>
      </c>
      <c r="C8" s="1082"/>
      <c r="D8" s="1082"/>
      <c r="E8" s="1082"/>
      <c r="F8" s="1082"/>
      <c r="G8" s="1083"/>
      <c r="H8" s="172" t="s">
        <v>6</v>
      </c>
      <c r="I8" s="1122" t="str">
        <f>IF(基本情報入力シート!AE33="－","",基本情報入力シート!AE33)</f>
        <v/>
      </c>
      <c r="J8" s="1122"/>
      <c r="K8" s="1122"/>
      <c r="L8" s="1122"/>
      <c r="M8" s="1122"/>
      <c r="N8" s="173"/>
      <c r="O8" s="174"/>
      <c r="P8" s="174"/>
      <c r="Q8" s="174"/>
      <c r="R8" s="174"/>
      <c r="S8" s="174"/>
      <c r="T8" s="174"/>
      <c r="U8" s="174"/>
      <c r="V8" s="174"/>
      <c r="W8" s="174"/>
      <c r="X8" s="174"/>
      <c r="Y8" s="174"/>
      <c r="Z8" s="174"/>
      <c r="AA8" s="174"/>
      <c r="AB8" s="174"/>
      <c r="AC8" s="174"/>
      <c r="AD8" s="174"/>
      <c r="AE8" s="174"/>
      <c r="AF8" s="174"/>
      <c r="AG8" s="174"/>
      <c r="AH8" s="174"/>
      <c r="AI8" s="174"/>
      <c r="AJ8" s="174"/>
      <c r="AK8" s="175"/>
      <c r="AL8" s="170"/>
    </row>
    <row r="9" spans="1:39" s="171" customFormat="1" ht="16.5" customHeight="1">
      <c r="A9" s="170"/>
      <c r="B9" s="1084"/>
      <c r="C9" s="1085"/>
      <c r="D9" s="1085"/>
      <c r="E9" s="1085"/>
      <c r="F9" s="1085"/>
      <c r="G9" s="1086"/>
      <c r="H9" s="1075" t="str">
        <f>IF(基本情報入力シート!M40="","",基本情報入力シート!M40)</f>
        <v/>
      </c>
      <c r="I9" s="1076"/>
      <c r="J9" s="1076"/>
      <c r="K9" s="1076"/>
      <c r="L9" s="1076"/>
      <c r="M9" s="1076"/>
      <c r="N9" s="1076"/>
      <c r="O9" s="1076"/>
      <c r="P9" s="1076"/>
      <c r="Q9" s="1076"/>
      <c r="R9" s="1076"/>
      <c r="S9" s="1076"/>
      <c r="T9" s="1076"/>
      <c r="U9" s="1076"/>
      <c r="V9" s="1076"/>
      <c r="W9" s="1076"/>
      <c r="X9" s="1076"/>
      <c r="Y9" s="1076"/>
      <c r="Z9" s="1076"/>
      <c r="AA9" s="1076"/>
      <c r="AB9" s="1076"/>
      <c r="AC9" s="1076"/>
      <c r="AD9" s="1076"/>
      <c r="AE9" s="1076"/>
      <c r="AF9" s="1076"/>
      <c r="AG9" s="1076"/>
      <c r="AH9" s="1076"/>
      <c r="AI9" s="1076"/>
      <c r="AJ9" s="1076"/>
      <c r="AK9" s="1077"/>
      <c r="AL9" s="170"/>
    </row>
    <row r="10" spans="1:39" s="171" customFormat="1" ht="16.5" customHeight="1">
      <c r="A10" s="170"/>
      <c r="B10" s="1084"/>
      <c r="C10" s="1085"/>
      <c r="D10" s="1085"/>
      <c r="E10" s="1085"/>
      <c r="F10" s="1085"/>
      <c r="G10" s="1086"/>
      <c r="H10" s="1078" t="str">
        <f>IF(基本情報入力シート!M41="","",基本情報入力シート!M41)</f>
        <v/>
      </c>
      <c r="I10" s="1079"/>
      <c r="J10" s="1079"/>
      <c r="K10" s="1079"/>
      <c r="L10" s="1079"/>
      <c r="M10" s="1079"/>
      <c r="N10" s="1079"/>
      <c r="O10" s="1079"/>
      <c r="P10" s="1079"/>
      <c r="Q10" s="1079"/>
      <c r="R10" s="1079"/>
      <c r="S10" s="1079"/>
      <c r="T10" s="1079"/>
      <c r="U10" s="1079"/>
      <c r="V10" s="1079"/>
      <c r="W10" s="1079"/>
      <c r="X10" s="1079"/>
      <c r="Y10" s="1079"/>
      <c r="Z10" s="1079"/>
      <c r="AA10" s="1079"/>
      <c r="AB10" s="1079"/>
      <c r="AC10" s="1079"/>
      <c r="AD10" s="1079"/>
      <c r="AE10" s="1079"/>
      <c r="AF10" s="1079"/>
      <c r="AG10" s="1079"/>
      <c r="AH10" s="1079"/>
      <c r="AI10" s="1079"/>
      <c r="AJ10" s="1079"/>
      <c r="AK10" s="1080"/>
      <c r="AL10" s="170"/>
    </row>
    <row r="11" spans="1:39" s="171" customFormat="1" ht="13.5" customHeight="1">
      <c r="A11" s="170"/>
      <c r="B11" s="1087" t="s">
        <v>72</v>
      </c>
      <c r="C11" s="1088"/>
      <c r="D11" s="1088"/>
      <c r="E11" s="1088"/>
      <c r="F11" s="1088"/>
      <c r="G11" s="1089"/>
      <c r="H11" s="1112" t="str">
        <f>IF(基本情報入力シート!M44="","",基本情報入力シート!M44)</f>
        <v/>
      </c>
      <c r="I11" s="1112"/>
      <c r="J11" s="1112"/>
      <c r="K11" s="1112"/>
      <c r="L11" s="1112"/>
      <c r="M11" s="1112"/>
      <c r="N11" s="1112"/>
      <c r="O11" s="1112"/>
      <c r="P11" s="1112"/>
      <c r="Q11" s="1112"/>
      <c r="R11" s="1112"/>
      <c r="S11" s="1112"/>
      <c r="T11" s="1112"/>
      <c r="U11" s="1112"/>
      <c r="V11" s="1112"/>
      <c r="W11" s="1112"/>
      <c r="X11" s="1112"/>
      <c r="Y11" s="1112"/>
      <c r="Z11" s="1112"/>
      <c r="AA11" s="1112"/>
      <c r="AB11" s="1112"/>
      <c r="AC11" s="1112"/>
      <c r="AD11" s="1112"/>
      <c r="AE11" s="1112"/>
      <c r="AF11" s="1112"/>
      <c r="AG11" s="1112"/>
      <c r="AH11" s="1112"/>
      <c r="AI11" s="1112"/>
      <c r="AJ11" s="1112"/>
      <c r="AK11" s="1113"/>
      <c r="AL11" s="170"/>
    </row>
    <row r="12" spans="1:39" s="171" customFormat="1" ht="22.5" customHeight="1">
      <c r="A12" s="170"/>
      <c r="B12" s="1084" t="s">
        <v>70</v>
      </c>
      <c r="C12" s="1085"/>
      <c r="D12" s="1085"/>
      <c r="E12" s="1085"/>
      <c r="F12" s="1085"/>
      <c r="G12" s="1086"/>
      <c r="H12" s="1079" t="str">
        <f>IF(基本情報入力シート!M45="","",基本情報入力シート!M45)</f>
        <v/>
      </c>
      <c r="I12" s="1079"/>
      <c r="J12" s="1079"/>
      <c r="K12" s="1079"/>
      <c r="L12" s="1079"/>
      <c r="M12" s="1079"/>
      <c r="N12" s="1079"/>
      <c r="O12" s="1079"/>
      <c r="P12" s="1079"/>
      <c r="Q12" s="1079"/>
      <c r="R12" s="1079"/>
      <c r="S12" s="1079"/>
      <c r="T12" s="1079"/>
      <c r="U12" s="1079"/>
      <c r="V12" s="1079"/>
      <c r="W12" s="1079"/>
      <c r="X12" s="1079"/>
      <c r="Y12" s="1079"/>
      <c r="Z12" s="1079"/>
      <c r="AA12" s="1079"/>
      <c r="AB12" s="1079"/>
      <c r="AC12" s="1079"/>
      <c r="AD12" s="1079"/>
      <c r="AE12" s="1079"/>
      <c r="AF12" s="1079"/>
      <c r="AG12" s="1079"/>
      <c r="AH12" s="1079"/>
      <c r="AI12" s="1079"/>
      <c r="AJ12" s="1079"/>
      <c r="AK12" s="1080"/>
      <c r="AL12" s="170"/>
    </row>
    <row r="13" spans="1:39" s="171" customFormat="1" ht="18.75" customHeight="1">
      <c r="A13" s="170"/>
      <c r="B13" s="1091" t="s">
        <v>74</v>
      </c>
      <c r="C13" s="1091"/>
      <c r="D13" s="1091"/>
      <c r="E13" s="1091"/>
      <c r="F13" s="1091"/>
      <c r="G13" s="1091"/>
      <c r="H13" s="1090" t="s">
        <v>0</v>
      </c>
      <c r="I13" s="1091"/>
      <c r="J13" s="1091"/>
      <c r="K13" s="1091"/>
      <c r="L13" s="1097" t="str">
        <f>IF(基本情報入力シート!M46="","",基本情報入力シート!M46)</f>
        <v/>
      </c>
      <c r="M13" s="1098"/>
      <c r="N13" s="1098"/>
      <c r="O13" s="1098"/>
      <c r="P13" s="1098"/>
      <c r="Q13" s="1098"/>
      <c r="R13" s="1098"/>
      <c r="S13" s="1098"/>
      <c r="T13" s="1098"/>
      <c r="U13" s="1099"/>
      <c r="V13" s="1100" t="s">
        <v>73</v>
      </c>
      <c r="W13" s="1101"/>
      <c r="X13" s="1101"/>
      <c r="Y13" s="1090"/>
      <c r="Z13" s="1097" t="str">
        <f>IF(基本情報入力シート!M47="","",基本情報入力シート!M47)</f>
        <v/>
      </c>
      <c r="AA13" s="1098"/>
      <c r="AB13" s="1098"/>
      <c r="AC13" s="1098"/>
      <c r="AD13" s="1098"/>
      <c r="AE13" s="1098"/>
      <c r="AF13" s="1098"/>
      <c r="AG13" s="1098"/>
      <c r="AH13" s="1098"/>
      <c r="AI13" s="1098"/>
      <c r="AJ13" s="1098"/>
      <c r="AK13" s="1099"/>
      <c r="AL13" s="170"/>
    </row>
    <row r="14" spans="1:39" ht="7.5" customHeight="1">
      <c r="A14" s="160"/>
      <c r="B14" s="162"/>
      <c r="C14" s="162"/>
      <c r="D14" s="162"/>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0"/>
    </row>
    <row r="15" spans="1:39" ht="18" customHeight="1">
      <c r="A15" s="160"/>
      <c r="B15" s="176" t="s">
        <v>2130</v>
      </c>
      <c r="C15" s="177"/>
      <c r="D15" s="177"/>
      <c r="E15" s="177"/>
      <c r="F15" s="177"/>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60"/>
    </row>
    <row r="16" spans="1:39" ht="18.75" customHeight="1">
      <c r="A16" s="160"/>
      <c r="B16" s="178" t="s">
        <v>182</v>
      </c>
      <c r="C16" s="179"/>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0"/>
    </row>
    <row r="17" spans="1:51" ht="18.75" customHeight="1">
      <c r="B17" s="1072" t="s">
        <v>2227</v>
      </c>
      <c r="C17" s="1073"/>
      <c r="D17" s="1073"/>
      <c r="E17" s="1073"/>
      <c r="F17" s="1073"/>
      <c r="G17" s="1073"/>
      <c r="H17" s="1073"/>
      <c r="I17" s="1073"/>
      <c r="J17" s="1073"/>
      <c r="K17" s="1073"/>
      <c r="L17" s="1073"/>
      <c r="M17" s="1073"/>
      <c r="N17" s="1073"/>
      <c r="O17" s="1073"/>
      <c r="P17" s="1073"/>
      <c r="Q17" s="1073"/>
      <c r="R17" s="1073"/>
      <c r="S17" s="1073"/>
      <c r="T17" s="1073"/>
      <c r="U17" s="1073"/>
      <c r="V17" s="1073"/>
      <c r="W17" s="1074"/>
      <c r="X17" s="162"/>
      <c r="Y17" s="162"/>
      <c r="Z17" s="162"/>
      <c r="AA17" s="162"/>
      <c r="AB17" s="162"/>
      <c r="AC17" s="162"/>
      <c r="AD17" s="162"/>
      <c r="AE17" s="162"/>
      <c r="AF17" s="162"/>
      <c r="AG17" s="162"/>
      <c r="AH17" s="162"/>
      <c r="AI17" s="162"/>
      <c r="AJ17" s="162"/>
      <c r="AK17" s="162"/>
      <c r="AL17" s="160"/>
    </row>
    <row r="18" spans="1:51" ht="26.25" customHeight="1">
      <c r="A18" s="160"/>
      <c r="B18" s="180" t="s">
        <v>8</v>
      </c>
      <c r="C18" s="1092" t="s">
        <v>2208</v>
      </c>
      <c r="D18" s="1092"/>
      <c r="E18" s="1092"/>
      <c r="F18" s="1092"/>
      <c r="G18" s="1092"/>
      <c r="H18" s="1092"/>
      <c r="I18" s="1092"/>
      <c r="J18" s="1092"/>
      <c r="K18" s="1092"/>
      <c r="L18" s="1092"/>
      <c r="M18" s="1092"/>
      <c r="N18" s="1092"/>
      <c r="O18" s="1092"/>
      <c r="P18" s="1093"/>
      <c r="Q18" s="993">
        <f>SUM('別紙様式2-2（４・５月分）'!K5,'別紙様式2-2（４・５月分）'!K6,'別紙様式2-2（４・５月分）'!K7,'別紙様式2-3（６月以降分）'!L5,'別紙様式2-4（年度内の区分変更がある場合に記入）'!L5)</f>
        <v>0</v>
      </c>
      <c r="R18" s="994"/>
      <c r="S18" s="994"/>
      <c r="T18" s="994"/>
      <c r="U18" s="994"/>
      <c r="V18" s="995"/>
      <c r="W18" s="181" t="s">
        <v>1</v>
      </c>
      <c r="X18" s="160"/>
      <c r="Y18" s="160"/>
      <c r="Z18" s="162"/>
      <c r="AA18" s="162"/>
      <c r="AB18" s="162"/>
      <c r="AC18" s="162"/>
      <c r="AD18" s="160"/>
      <c r="AE18" s="160"/>
      <c r="AF18" s="160"/>
      <c r="AG18" s="160"/>
      <c r="AH18" s="160"/>
      <c r="AI18" s="160"/>
      <c r="AJ18" s="160"/>
      <c r="AK18" s="160"/>
      <c r="AL18" s="160"/>
    </row>
    <row r="19" spans="1:51" ht="26.25" customHeight="1" thickBot="1">
      <c r="A19" s="160"/>
      <c r="B19" s="182"/>
      <c r="C19" s="183" t="s">
        <v>2223</v>
      </c>
      <c r="D19" s="788" t="s">
        <v>2226</v>
      </c>
      <c r="E19" s="788"/>
      <c r="F19" s="788"/>
      <c r="G19" s="788"/>
      <c r="H19" s="788"/>
      <c r="I19" s="788"/>
      <c r="J19" s="788"/>
      <c r="K19" s="788"/>
      <c r="L19" s="788"/>
      <c r="M19" s="788"/>
      <c r="N19" s="788"/>
      <c r="O19" s="788"/>
      <c r="P19" s="789"/>
      <c r="Q19" s="993">
        <f>SUM('別紙様式2-2（４・５月分）'!K9,'別紙様式2-3（６月以降分）'!L8,'別紙様式2-4（年度内の区分変更がある場合に記入）'!L8)</f>
        <v>0</v>
      </c>
      <c r="R19" s="994"/>
      <c r="S19" s="994"/>
      <c r="T19" s="994"/>
      <c r="U19" s="994"/>
      <c r="V19" s="995"/>
      <c r="W19" s="181" t="s">
        <v>1</v>
      </c>
      <c r="X19" s="160"/>
      <c r="Y19" s="160"/>
      <c r="Z19" s="162"/>
      <c r="AA19" s="162"/>
      <c r="AB19" s="160"/>
      <c r="AC19" s="160"/>
      <c r="AD19" s="160"/>
      <c r="AE19" s="160"/>
      <c r="AF19" s="160"/>
      <c r="AG19" s="160"/>
      <c r="AH19" s="160"/>
      <c r="AI19" s="160"/>
      <c r="AJ19" s="160"/>
      <c r="AK19" s="160"/>
      <c r="AL19" s="160"/>
    </row>
    <row r="20" spans="1:51" ht="30" customHeight="1" thickBot="1">
      <c r="A20" s="160"/>
      <c r="B20" s="184"/>
      <c r="C20" s="185"/>
      <c r="D20" s="186" t="s">
        <v>2225</v>
      </c>
      <c r="E20" s="788" t="s">
        <v>2224</v>
      </c>
      <c r="F20" s="788"/>
      <c r="G20" s="788"/>
      <c r="H20" s="788"/>
      <c r="I20" s="788"/>
      <c r="J20" s="788"/>
      <c r="K20" s="788"/>
      <c r="L20" s="788"/>
      <c r="M20" s="788"/>
      <c r="N20" s="788"/>
      <c r="O20" s="788"/>
      <c r="P20" s="992"/>
      <c r="Q20" s="1002"/>
      <c r="R20" s="1003"/>
      <c r="S20" s="1003"/>
      <c r="T20" s="1003"/>
      <c r="U20" s="1003"/>
      <c r="V20" s="1004"/>
      <c r="W20" s="187" t="s">
        <v>1</v>
      </c>
      <c r="X20" s="162" t="s">
        <v>166</v>
      </c>
      <c r="Y20" s="188" t="str">
        <f>IF(Q20&gt;Q19,"×","")</f>
        <v/>
      </c>
      <c r="Z20" s="160"/>
      <c r="AA20" s="160"/>
      <c r="AB20" s="160"/>
      <c r="AC20" s="160"/>
      <c r="AD20" s="160"/>
      <c r="AE20" s="160"/>
      <c r="AF20" s="160"/>
      <c r="AG20" s="160"/>
      <c r="AH20" s="160"/>
      <c r="AI20" s="160"/>
      <c r="AJ20" s="160"/>
      <c r="AK20" s="160"/>
      <c r="AL20" s="160"/>
      <c r="AM20" s="1102" t="s">
        <v>2259</v>
      </c>
      <c r="AN20" s="1103"/>
      <c r="AO20" s="1103"/>
      <c r="AP20" s="1103"/>
      <c r="AQ20" s="1103"/>
      <c r="AR20" s="1103"/>
      <c r="AS20" s="1103"/>
      <c r="AT20" s="1103"/>
      <c r="AU20" s="1103"/>
      <c r="AV20" s="1103"/>
      <c r="AW20" s="1103"/>
      <c r="AX20" s="1103"/>
      <c r="AY20" s="1104"/>
    </row>
    <row r="21" spans="1:51" ht="28.5" customHeight="1" thickBot="1">
      <c r="A21" s="160"/>
      <c r="B21" s="189" t="s">
        <v>9</v>
      </c>
      <c r="C21" s="788" t="s">
        <v>2295</v>
      </c>
      <c r="D21" s="1092"/>
      <c r="E21" s="1092"/>
      <c r="F21" s="1092"/>
      <c r="G21" s="1092"/>
      <c r="H21" s="1092"/>
      <c r="I21" s="1092"/>
      <c r="J21" s="1092"/>
      <c r="K21" s="1092"/>
      <c r="L21" s="1092"/>
      <c r="M21" s="1092"/>
      <c r="N21" s="1092"/>
      <c r="O21" s="1092"/>
      <c r="P21" s="1092"/>
      <c r="Q21" s="993">
        <f>Q18-Q20</f>
        <v>0</v>
      </c>
      <c r="R21" s="994"/>
      <c r="S21" s="994"/>
      <c r="T21" s="994"/>
      <c r="U21" s="994"/>
      <c r="V21" s="995"/>
      <c r="W21" s="190" t="s">
        <v>1</v>
      </c>
      <c r="X21" s="162" t="s">
        <v>238</v>
      </c>
      <c r="Y21" s="838" t="str">
        <f>IFERROR(IF(Q22&gt;=Q21,"○","×"),"")</f>
        <v>○</v>
      </c>
      <c r="Z21" s="160"/>
      <c r="AA21" s="160"/>
      <c r="AB21" s="160"/>
      <c r="AC21" s="160"/>
      <c r="AD21" s="160"/>
      <c r="AE21" s="160"/>
      <c r="AF21" s="160"/>
      <c r="AG21" s="160"/>
      <c r="AH21" s="160"/>
      <c r="AI21" s="160"/>
      <c r="AJ21" s="160"/>
      <c r="AK21" s="160"/>
      <c r="AL21" s="160"/>
      <c r="AM21" s="792" t="s">
        <v>2372</v>
      </c>
      <c r="AN21" s="790"/>
      <c r="AO21" s="790"/>
      <c r="AP21" s="790"/>
      <c r="AQ21" s="790"/>
      <c r="AR21" s="790"/>
      <c r="AS21" s="790"/>
      <c r="AT21" s="790"/>
      <c r="AU21" s="790"/>
      <c r="AV21" s="790"/>
      <c r="AW21" s="790"/>
      <c r="AX21" s="790"/>
      <c r="AY21" s="791"/>
    </row>
    <row r="22" spans="1:51" ht="30" customHeight="1" thickBot="1">
      <c r="A22" s="160"/>
      <c r="B22" s="189" t="s">
        <v>98</v>
      </c>
      <c r="C22" s="788" t="s">
        <v>2230</v>
      </c>
      <c r="D22" s="788"/>
      <c r="E22" s="788"/>
      <c r="F22" s="788"/>
      <c r="G22" s="788"/>
      <c r="H22" s="788"/>
      <c r="I22" s="788"/>
      <c r="J22" s="788"/>
      <c r="K22" s="788"/>
      <c r="L22" s="788"/>
      <c r="M22" s="788"/>
      <c r="N22" s="788"/>
      <c r="O22" s="788"/>
      <c r="P22" s="788"/>
      <c r="Q22" s="1002"/>
      <c r="R22" s="1003"/>
      <c r="S22" s="1003"/>
      <c r="T22" s="1003"/>
      <c r="U22" s="1003"/>
      <c r="V22" s="1004"/>
      <c r="W22" s="191" t="s">
        <v>1</v>
      </c>
      <c r="X22" s="162" t="s">
        <v>238</v>
      </c>
      <c r="Y22" s="839"/>
      <c r="Z22" s="162"/>
      <c r="AA22" s="162"/>
      <c r="AB22" s="160"/>
      <c r="AC22" s="160"/>
      <c r="AD22" s="160"/>
      <c r="AE22" s="160"/>
      <c r="AF22" s="160"/>
      <c r="AG22" s="160"/>
      <c r="AH22" s="160"/>
      <c r="AI22" s="160"/>
      <c r="AJ22" s="160"/>
      <c r="AK22" s="160"/>
      <c r="AL22" s="160"/>
    </row>
    <row r="23" spans="1:51" ht="12.75" customHeight="1">
      <c r="A23" s="162"/>
      <c r="B23" s="162"/>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0"/>
      <c r="AC23" s="160"/>
      <c r="AD23" s="160"/>
      <c r="AE23" s="160"/>
      <c r="AF23" s="160"/>
      <c r="AG23" s="160"/>
      <c r="AH23" s="160"/>
      <c r="AI23" s="160"/>
      <c r="AJ23" s="160"/>
      <c r="AK23" s="160"/>
      <c r="AL23" s="160"/>
    </row>
    <row r="24" spans="1:51" ht="17.25" customHeight="1" thickBot="1">
      <c r="A24" s="160"/>
      <c r="B24" s="1072" t="s">
        <v>2228</v>
      </c>
      <c r="C24" s="1073"/>
      <c r="D24" s="1073"/>
      <c r="E24" s="1073"/>
      <c r="F24" s="1073"/>
      <c r="G24" s="1073"/>
      <c r="H24" s="1073"/>
      <c r="I24" s="1073"/>
      <c r="J24" s="1073"/>
      <c r="K24" s="1073"/>
      <c r="L24" s="1073"/>
      <c r="M24" s="1073"/>
      <c r="N24" s="1073"/>
      <c r="O24" s="1073"/>
      <c r="P24" s="1073"/>
      <c r="Q24" s="1096"/>
      <c r="R24" s="1096"/>
      <c r="S24" s="1096"/>
      <c r="T24" s="1096"/>
      <c r="U24" s="1096"/>
      <c r="V24" s="1096"/>
      <c r="W24" s="1074"/>
      <c r="X24" s="162"/>
      <c r="Y24" s="162"/>
      <c r="Z24" s="162"/>
      <c r="AA24" s="162"/>
      <c r="AB24" s="160"/>
      <c r="AC24" s="160"/>
      <c r="AD24" s="160"/>
      <c r="AE24" s="160"/>
      <c r="AF24" s="160"/>
      <c r="AG24" s="160"/>
      <c r="AH24" s="160"/>
      <c r="AI24" s="160"/>
      <c r="AJ24" s="160"/>
      <c r="AK24" s="160"/>
      <c r="AL24" s="160"/>
    </row>
    <row r="25" spans="1:51" ht="27" customHeight="1" thickBot="1">
      <c r="A25" s="160"/>
      <c r="B25" s="189" t="s">
        <v>2111</v>
      </c>
      <c r="C25" s="788" t="s">
        <v>2294</v>
      </c>
      <c r="D25" s="788"/>
      <c r="E25" s="788"/>
      <c r="F25" s="788"/>
      <c r="G25" s="788"/>
      <c r="H25" s="788"/>
      <c r="I25" s="788"/>
      <c r="J25" s="788"/>
      <c r="K25" s="788"/>
      <c r="L25" s="788"/>
      <c r="M25" s="788"/>
      <c r="N25" s="788"/>
      <c r="O25" s="788"/>
      <c r="P25" s="789"/>
      <c r="Q25" s="1094">
        <f>Q19-Q20</f>
        <v>0</v>
      </c>
      <c r="R25" s="1095"/>
      <c r="S25" s="1095"/>
      <c r="T25" s="1095"/>
      <c r="U25" s="1095"/>
      <c r="V25" s="1095"/>
      <c r="W25" s="181" t="s">
        <v>1</v>
      </c>
      <c r="X25" s="162" t="s">
        <v>166</v>
      </c>
      <c r="Y25" s="1052" t="str">
        <f>IFERROR(IF(Q25&lt;=0,"",IF(Q26&gt;=Q25,"○","△")),"")</f>
        <v/>
      </c>
      <c r="Z25" s="162" t="s">
        <v>2219</v>
      </c>
      <c r="AA25" s="838" t="str">
        <f>IFERROR(IF(Y25="△",IF(Q28&gt;=Q25,"○","△"),""),"")</f>
        <v/>
      </c>
      <c r="AB25" s="160"/>
      <c r="AC25" s="160"/>
      <c r="AD25" s="160"/>
      <c r="AE25" s="160"/>
      <c r="AF25" s="160"/>
      <c r="AG25" s="160"/>
      <c r="AH25" s="160"/>
      <c r="AI25" s="160"/>
      <c r="AJ25" s="160"/>
      <c r="AK25" s="160"/>
      <c r="AL25" s="160"/>
    </row>
    <row r="26" spans="1:51" ht="37.5" customHeight="1" thickBot="1">
      <c r="A26" s="160"/>
      <c r="B26" s="189" t="s">
        <v>2218</v>
      </c>
      <c r="C26" s="788" t="s">
        <v>2320</v>
      </c>
      <c r="D26" s="788"/>
      <c r="E26" s="788"/>
      <c r="F26" s="788"/>
      <c r="G26" s="788"/>
      <c r="H26" s="788"/>
      <c r="I26" s="788"/>
      <c r="J26" s="788"/>
      <c r="K26" s="788"/>
      <c r="L26" s="788"/>
      <c r="M26" s="788"/>
      <c r="N26" s="788"/>
      <c r="O26" s="788"/>
      <c r="P26" s="789"/>
      <c r="Q26" s="1002"/>
      <c r="R26" s="1003"/>
      <c r="S26" s="1003"/>
      <c r="T26" s="1003"/>
      <c r="U26" s="1003"/>
      <c r="V26" s="1004"/>
      <c r="W26" s="181" t="s">
        <v>1</v>
      </c>
      <c r="X26" s="162" t="s">
        <v>166</v>
      </c>
      <c r="Y26" s="1053"/>
      <c r="Z26" s="162"/>
      <c r="AA26" s="1048"/>
      <c r="AB26" s="160"/>
      <c r="AC26" s="160"/>
      <c r="AD26" s="160"/>
      <c r="AE26" s="160"/>
      <c r="AF26" s="160"/>
      <c r="AG26" s="160"/>
      <c r="AH26" s="160"/>
      <c r="AI26" s="160"/>
      <c r="AJ26" s="160"/>
      <c r="AK26" s="160"/>
      <c r="AL26" s="160"/>
    </row>
    <row r="27" spans="1:51" ht="26.25" customHeight="1" thickBot="1">
      <c r="A27" s="160"/>
      <c r="B27" s="189" t="s">
        <v>2220</v>
      </c>
      <c r="C27" s="788" t="s">
        <v>2262</v>
      </c>
      <c r="D27" s="788"/>
      <c r="E27" s="788"/>
      <c r="F27" s="788"/>
      <c r="G27" s="788"/>
      <c r="H27" s="788"/>
      <c r="I27" s="788"/>
      <c r="J27" s="788"/>
      <c r="K27" s="788"/>
      <c r="L27" s="788"/>
      <c r="M27" s="788"/>
      <c r="N27" s="788"/>
      <c r="O27" s="788"/>
      <c r="P27" s="789"/>
      <c r="Q27" s="1002"/>
      <c r="R27" s="1003"/>
      <c r="S27" s="1003"/>
      <c r="T27" s="1003"/>
      <c r="U27" s="1003"/>
      <c r="V27" s="1004"/>
      <c r="W27" s="181" t="s">
        <v>1</v>
      </c>
      <c r="X27" s="162"/>
      <c r="Y27" s="162"/>
      <c r="Z27" s="162"/>
      <c r="AA27" s="1048"/>
      <c r="AB27" s="160"/>
      <c r="AC27" s="160"/>
      <c r="AD27" s="160"/>
      <c r="AE27" s="160"/>
      <c r="AF27" s="160"/>
      <c r="AG27" s="160"/>
      <c r="AH27" s="160"/>
      <c r="AI27" s="160"/>
      <c r="AJ27" s="160"/>
      <c r="AK27" s="160"/>
      <c r="AL27" s="160"/>
      <c r="AM27" s="793" t="s">
        <v>2397</v>
      </c>
      <c r="AN27" s="794"/>
      <c r="AO27" s="794"/>
      <c r="AP27" s="794"/>
      <c r="AQ27" s="794"/>
      <c r="AR27" s="794"/>
      <c r="AS27" s="794"/>
      <c r="AT27" s="794"/>
      <c r="AU27" s="794"/>
      <c r="AV27" s="794"/>
      <c r="AW27" s="794"/>
      <c r="AX27" s="794"/>
      <c r="AY27" s="795"/>
    </row>
    <row r="28" spans="1:51" ht="16.5" customHeight="1" thickBot="1">
      <c r="A28" s="160"/>
      <c r="B28" s="189" t="s">
        <v>2229</v>
      </c>
      <c r="C28" s="788" t="s">
        <v>2293</v>
      </c>
      <c r="D28" s="788"/>
      <c r="E28" s="788"/>
      <c r="F28" s="788"/>
      <c r="G28" s="788"/>
      <c r="H28" s="788"/>
      <c r="I28" s="788"/>
      <c r="J28" s="788"/>
      <c r="K28" s="788"/>
      <c r="L28" s="788"/>
      <c r="M28" s="788"/>
      <c r="N28" s="788"/>
      <c r="O28" s="788"/>
      <c r="P28" s="789"/>
      <c r="Q28" s="1045">
        <f>Q26+Q27</f>
        <v>0</v>
      </c>
      <c r="R28" s="1046"/>
      <c r="S28" s="1046"/>
      <c r="T28" s="1046"/>
      <c r="U28" s="1046"/>
      <c r="V28" s="1047"/>
      <c r="W28" s="181" t="s">
        <v>1</v>
      </c>
      <c r="X28" s="160"/>
      <c r="Y28" s="160"/>
      <c r="Z28" s="160" t="s">
        <v>2219</v>
      </c>
      <c r="AA28" s="839"/>
      <c r="AB28" s="160"/>
      <c r="AC28" s="160"/>
      <c r="AD28" s="160"/>
      <c r="AE28" s="160"/>
      <c r="AF28" s="160"/>
      <c r="AG28" s="160"/>
      <c r="AH28" s="160"/>
      <c r="AI28" s="160"/>
      <c r="AJ28" s="160"/>
      <c r="AK28" s="160"/>
      <c r="AL28" s="160"/>
      <c r="AM28" s="796"/>
      <c r="AN28" s="797"/>
      <c r="AO28" s="797"/>
      <c r="AP28" s="797"/>
      <c r="AQ28" s="797"/>
      <c r="AR28" s="797"/>
      <c r="AS28" s="797"/>
      <c r="AT28" s="797"/>
      <c r="AU28" s="797"/>
      <c r="AV28" s="797"/>
      <c r="AW28" s="797"/>
      <c r="AX28" s="797"/>
      <c r="AY28" s="798"/>
    </row>
    <row r="29" spans="1:51" ht="3.75" customHeight="1">
      <c r="A29" s="162"/>
      <c r="B29" s="160"/>
      <c r="C29" s="160"/>
      <c r="D29" s="160"/>
      <c r="E29" s="160"/>
      <c r="F29" s="160"/>
      <c r="G29" s="160"/>
      <c r="H29" s="160"/>
      <c r="I29" s="160"/>
      <c r="J29" s="160"/>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c r="AH29" s="160"/>
      <c r="AI29" s="160"/>
      <c r="AJ29" s="160"/>
      <c r="AK29" s="160"/>
      <c r="AL29" s="160"/>
      <c r="AU29" s="192"/>
      <c r="AV29" s="193"/>
    </row>
    <row r="30" spans="1:51" ht="16.5" customHeight="1">
      <c r="A30" s="194"/>
      <c r="B30" s="195" t="s">
        <v>47</v>
      </c>
      <c r="C30" s="160"/>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0"/>
      <c r="AL30" s="160"/>
    </row>
    <row r="31" spans="1:51" ht="37.5" customHeight="1">
      <c r="A31" s="160"/>
      <c r="B31" s="196" t="s">
        <v>48</v>
      </c>
      <c r="C31" s="800" t="s">
        <v>2260</v>
      </c>
      <c r="D31" s="800"/>
      <c r="E31" s="800"/>
      <c r="F31" s="800"/>
      <c r="G31" s="800"/>
      <c r="H31" s="800"/>
      <c r="I31" s="800"/>
      <c r="J31" s="800"/>
      <c r="K31" s="800"/>
      <c r="L31" s="800"/>
      <c r="M31" s="800"/>
      <c r="N31" s="800"/>
      <c r="O31" s="800"/>
      <c r="P31" s="800"/>
      <c r="Q31" s="800"/>
      <c r="R31" s="800"/>
      <c r="S31" s="800"/>
      <c r="T31" s="800"/>
      <c r="U31" s="800"/>
      <c r="V31" s="800"/>
      <c r="W31" s="800"/>
      <c r="X31" s="800"/>
      <c r="Y31" s="800"/>
      <c r="Z31" s="800"/>
      <c r="AA31" s="800"/>
      <c r="AB31" s="800"/>
      <c r="AC31" s="800"/>
      <c r="AD31" s="800"/>
      <c r="AE31" s="800"/>
      <c r="AF31" s="800"/>
      <c r="AG31" s="800"/>
      <c r="AH31" s="800"/>
      <c r="AI31" s="800"/>
      <c r="AJ31" s="800"/>
      <c r="AK31" s="800"/>
      <c r="AL31" s="160"/>
    </row>
    <row r="32" spans="1:51" ht="48" customHeight="1">
      <c r="A32" s="160"/>
      <c r="B32" s="196" t="s">
        <v>48</v>
      </c>
      <c r="C32" s="800" t="s">
        <v>2263</v>
      </c>
      <c r="D32" s="800"/>
      <c r="E32" s="800"/>
      <c r="F32" s="800"/>
      <c r="G32" s="800"/>
      <c r="H32" s="800"/>
      <c r="I32" s="800"/>
      <c r="J32" s="800"/>
      <c r="K32" s="800"/>
      <c r="L32" s="800"/>
      <c r="M32" s="800"/>
      <c r="N32" s="800"/>
      <c r="O32" s="800"/>
      <c r="P32" s="800"/>
      <c r="Q32" s="800"/>
      <c r="R32" s="800"/>
      <c r="S32" s="800"/>
      <c r="T32" s="800"/>
      <c r="U32" s="800"/>
      <c r="V32" s="800"/>
      <c r="W32" s="800"/>
      <c r="X32" s="800"/>
      <c r="Y32" s="800"/>
      <c r="Z32" s="800"/>
      <c r="AA32" s="800"/>
      <c r="AB32" s="800"/>
      <c r="AC32" s="800"/>
      <c r="AD32" s="800"/>
      <c r="AE32" s="800"/>
      <c r="AF32" s="800"/>
      <c r="AG32" s="800"/>
      <c r="AH32" s="800"/>
      <c r="AI32" s="800"/>
      <c r="AJ32" s="800"/>
      <c r="AK32" s="800"/>
      <c r="AL32" s="160"/>
    </row>
    <row r="33" spans="1:51" ht="24.75" customHeight="1">
      <c r="A33" s="160"/>
      <c r="B33" s="196" t="s">
        <v>48</v>
      </c>
      <c r="C33" s="800" t="s">
        <v>2261</v>
      </c>
      <c r="D33" s="800"/>
      <c r="E33" s="800"/>
      <c r="F33" s="800"/>
      <c r="G33" s="800"/>
      <c r="H33" s="800"/>
      <c r="I33" s="800"/>
      <c r="J33" s="800"/>
      <c r="K33" s="800"/>
      <c r="L33" s="800"/>
      <c r="M33" s="800"/>
      <c r="N33" s="800"/>
      <c r="O33" s="800"/>
      <c r="P33" s="800"/>
      <c r="Q33" s="800"/>
      <c r="R33" s="800"/>
      <c r="S33" s="800"/>
      <c r="T33" s="800"/>
      <c r="U33" s="800"/>
      <c r="V33" s="800"/>
      <c r="W33" s="800"/>
      <c r="X33" s="800"/>
      <c r="Y33" s="800"/>
      <c r="Z33" s="800"/>
      <c r="AA33" s="800"/>
      <c r="AB33" s="800"/>
      <c r="AC33" s="800"/>
      <c r="AD33" s="800"/>
      <c r="AE33" s="800"/>
      <c r="AF33" s="800"/>
      <c r="AG33" s="800"/>
      <c r="AH33" s="800"/>
      <c r="AI33" s="800"/>
      <c r="AJ33" s="800"/>
      <c r="AK33" s="800"/>
      <c r="AL33" s="160"/>
    </row>
    <row r="34" spans="1:51" ht="35.25" customHeight="1">
      <c r="A34" s="160"/>
      <c r="B34" s="196" t="s">
        <v>48</v>
      </c>
      <c r="C34" s="800" t="s">
        <v>2374</v>
      </c>
      <c r="D34" s="800"/>
      <c r="E34" s="800"/>
      <c r="F34" s="800"/>
      <c r="G34" s="800"/>
      <c r="H34" s="800"/>
      <c r="I34" s="800"/>
      <c r="J34" s="800"/>
      <c r="K34" s="800"/>
      <c r="L34" s="800"/>
      <c r="M34" s="800"/>
      <c r="N34" s="800"/>
      <c r="O34" s="800"/>
      <c r="P34" s="800"/>
      <c r="Q34" s="800"/>
      <c r="R34" s="800"/>
      <c r="S34" s="800"/>
      <c r="T34" s="800"/>
      <c r="U34" s="800"/>
      <c r="V34" s="800"/>
      <c r="W34" s="800"/>
      <c r="X34" s="800"/>
      <c r="Y34" s="800"/>
      <c r="Z34" s="800"/>
      <c r="AA34" s="800"/>
      <c r="AB34" s="800"/>
      <c r="AC34" s="800"/>
      <c r="AD34" s="800"/>
      <c r="AE34" s="800"/>
      <c r="AF34" s="800"/>
      <c r="AG34" s="800"/>
      <c r="AH34" s="800"/>
      <c r="AI34" s="800"/>
      <c r="AJ34" s="800"/>
      <c r="AK34" s="800"/>
      <c r="AL34" s="160"/>
    </row>
    <row r="35" spans="1:51" ht="6.75" customHeight="1">
      <c r="A35" s="160"/>
      <c r="B35" s="197"/>
      <c r="C35" s="195"/>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row>
    <row r="36" spans="1:51" ht="18" customHeight="1" thickBot="1">
      <c r="A36" s="160"/>
      <c r="B36" s="178" t="s">
        <v>2250</v>
      </c>
      <c r="C36" s="179"/>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0"/>
      <c r="AM36" s="158" t="b">
        <v>0</v>
      </c>
      <c r="AW36" s="198"/>
    </row>
    <row r="37" spans="1:51" ht="18.75" customHeight="1" thickBot="1">
      <c r="A37" s="160"/>
      <c r="B37" s="1123" t="b">
        <v>1</v>
      </c>
      <c r="C37" s="1124"/>
      <c r="D37" s="1058" t="s">
        <v>167</v>
      </c>
      <c r="E37" s="1119"/>
      <c r="F37" s="1119"/>
      <c r="G37" s="1119"/>
      <c r="H37" s="1119"/>
      <c r="I37" s="1119"/>
      <c r="J37" s="1119"/>
      <c r="K37" s="1119"/>
      <c r="L37" s="1119"/>
      <c r="M37" s="1119"/>
      <c r="N37" s="1119"/>
      <c r="O37" s="1119"/>
      <c r="P37" s="1119"/>
      <c r="Q37" s="1119"/>
      <c r="R37" s="1119"/>
      <c r="S37" s="1119"/>
      <c r="T37" s="1119"/>
      <c r="U37" s="1119"/>
      <c r="V37" s="1119"/>
      <c r="W37" s="1119"/>
      <c r="X37" s="1119"/>
      <c r="Y37" s="1119"/>
      <c r="Z37" s="1119"/>
      <c r="AA37" s="162" t="s">
        <v>166</v>
      </c>
      <c r="AB37" s="188" t="str">
        <f>IFERROR(IF(AM36=TRUE,"○","×"),"")</f>
        <v>×</v>
      </c>
      <c r="AC37" s="162"/>
      <c r="AD37" s="162"/>
      <c r="AE37" s="162"/>
      <c r="AF37" s="162"/>
      <c r="AG37" s="162"/>
      <c r="AH37" s="162"/>
      <c r="AI37" s="162"/>
      <c r="AJ37" s="162"/>
      <c r="AK37" s="162"/>
      <c r="AL37" s="160"/>
      <c r="AM37" s="792" t="s">
        <v>2246</v>
      </c>
      <c r="AN37" s="790"/>
      <c r="AO37" s="790"/>
      <c r="AP37" s="790"/>
      <c r="AQ37" s="790"/>
      <c r="AR37" s="790"/>
      <c r="AS37" s="790"/>
      <c r="AT37" s="790"/>
      <c r="AU37" s="790"/>
      <c r="AV37" s="790"/>
      <c r="AW37" s="790"/>
      <c r="AX37" s="790"/>
      <c r="AY37" s="791"/>
    </row>
    <row r="38" spans="1:51" ht="3.75" customHeight="1">
      <c r="A38" s="160"/>
      <c r="B38" s="162"/>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0"/>
      <c r="AM38" s="199"/>
      <c r="AN38" s="199"/>
      <c r="AO38" s="199"/>
      <c r="AP38" s="199"/>
      <c r="AQ38" s="199"/>
      <c r="AR38" s="199"/>
      <c r="AS38" s="199"/>
      <c r="AT38" s="199"/>
      <c r="AU38" s="199"/>
      <c r="AV38" s="199"/>
      <c r="AW38" s="199"/>
      <c r="AX38" s="199"/>
      <c r="AY38" s="199"/>
    </row>
    <row r="39" spans="1:51" ht="11.25" customHeight="1">
      <c r="A39" s="160"/>
      <c r="B39" s="195" t="s">
        <v>47</v>
      </c>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0"/>
      <c r="AM39" s="199"/>
      <c r="AN39" s="199"/>
      <c r="AO39" s="199"/>
      <c r="AP39" s="199"/>
      <c r="AQ39" s="199"/>
      <c r="AR39" s="199"/>
      <c r="AS39" s="199"/>
      <c r="AT39" s="199"/>
      <c r="AU39" s="199"/>
      <c r="AV39" s="199"/>
      <c r="AW39" s="199"/>
      <c r="AX39" s="199"/>
      <c r="AY39" s="199"/>
    </row>
    <row r="40" spans="1:51" ht="45.75" customHeight="1">
      <c r="A40" s="160"/>
      <c r="B40" s="196" t="s">
        <v>48</v>
      </c>
      <c r="C40" s="875" t="s">
        <v>2271</v>
      </c>
      <c r="D40" s="875"/>
      <c r="E40" s="875"/>
      <c r="F40" s="875"/>
      <c r="G40" s="875"/>
      <c r="H40" s="875"/>
      <c r="I40" s="875"/>
      <c r="J40" s="875"/>
      <c r="K40" s="875"/>
      <c r="L40" s="875"/>
      <c r="M40" s="875"/>
      <c r="N40" s="875"/>
      <c r="O40" s="875"/>
      <c r="P40" s="875"/>
      <c r="Q40" s="875"/>
      <c r="R40" s="875"/>
      <c r="S40" s="875"/>
      <c r="T40" s="875"/>
      <c r="U40" s="875"/>
      <c r="V40" s="875"/>
      <c r="W40" s="875"/>
      <c r="X40" s="875"/>
      <c r="Y40" s="875"/>
      <c r="Z40" s="875"/>
      <c r="AA40" s="875"/>
      <c r="AB40" s="875"/>
      <c r="AC40" s="875"/>
      <c r="AD40" s="875"/>
      <c r="AE40" s="875"/>
      <c r="AF40" s="875"/>
      <c r="AG40" s="875"/>
      <c r="AH40" s="875"/>
      <c r="AI40" s="875"/>
      <c r="AJ40" s="875"/>
      <c r="AK40" s="875"/>
      <c r="AL40" s="160"/>
    </row>
    <row r="41" spans="1:51" ht="24.75" customHeight="1" thickBot="1">
      <c r="A41" s="160"/>
      <c r="B41" s="196" t="s">
        <v>48</v>
      </c>
      <c r="C41" s="875" t="s">
        <v>263</v>
      </c>
      <c r="D41" s="875"/>
      <c r="E41" s="875"/>
      <c r="F41" s="875"/>
      <c r="G41" s="875"/>
      <c r="H41" s="875"/>
      <c r="I41" s="875"/>
      <c r="J41" s="875"/>
      <c r="K41" s="875"/>
      <c r="L41" s="875"/>
      <c r="M41" s="875"/>
      <c r="N41" s="875"/>
      <c r="O41" s="875"/>
      <c r="P41" s="875"/>
      <c r="Q41" s="875"/>
      <c r="R41" s="875"/>
      <c r="S41" s="875"/>
      <c r="T41" s="875"/>
      <c r="U41" s="875"/>
      <c r="V41" s="875"/>
      <c r="W41" s="875"/>
      <c r="X41" s="875"/>
      <c r="Y41" s="875"/>
      <c r="Z41" s="875"/>
      <c r="AA41" s="875"/>
      <c r="AB41" s="875"/>
      <c r="AC41" s="875"/>
      <c r="AD41" s="875"/>
      <c r="AE41" s="875"/>
      <c r="AF41" s="875"/>
      <c r="AG41" s="875"/>
      <c r="AH41" s="875"/>
      <c r="AI41" s="875"/>
      <c r="AJ41" s="875"/>
      <c r="AK41" s="875"/>
      <c r="AL41" s="160"/>
    </row>
    <row r="42" spans="1:51" ht="22.5" customHeight="1" thickBot="1">
      <c r="A42" s="160"/>
      <c r="B42" s="200" t="s">
        <v>2239</v>
      </c>
      <c r="C42" s="194"/>
      <c r="D42" s="194"/>
      <c r="E42" s="194"/>
      <c r="F42" s="194"/>
      <c r="G42" s="194"/>
      <c r="H42" s="194"/>
      <c r="I42" s="194"/>
      <c r="J42" s="194"/>
      <c r="K42" s="194"/>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88" t="str">
        <f>IFERROR(IF(AND(AND(Q43&lt;&gt;"",T43&lt;&gt;"",AA43&lt;&gt;"",AD43&lt;&gt;""),OR(AM50=TRUE,AM51=TRUE,AM52=TRUE,AM53=TRUE,AND(AM54=TRUE,AE44&lt;&gt;"")),OR(AR49=TRUE,AR50=TRUE,AND(AR51=TRUE,Y46&lt;&gt;"")),AND(F48&lt;&gt;"",P54&lt;&gt;"",S54&lt;&gt;""),OR(AR52=TRUE,AR53=TRUE),OR(AR54=TRUE,N55&lt;&gt;"")),"○","×"),"")</f>
        <v>×</v>
      </c>
      <c r="AL42" s="160"/>
      <c r="AM42" s="781" t="s">
        <v>2373</v>
      </c>
      <c r="AN42" s="790"/>
      <c r="AO42" s="790"/>
      <c r="AP42" s="790"/>
      <c r="AQ42" s="790"/>
      <c r="AR42" s="790"/>
      <c r="AS42" s="790"/>
      <c r="AT42" s="790"/>
      <c r="AU42" s="790"/>
      <c r="AV42" s="790"/>
      <c r="AW42" s="790"/>
      <c r="AX42" s="790"/>
      <c r="AY42" s="791"/>
    </row>
    <row r="43" spans="1:51" ht="21.75" customHeight="1" thickBot="1">
      <c r="A43" s="160"/>
      <c r="B43" s="1164" t="s">
        <v>243</v>
      </c>
      <c r="C43" s="1165"/>
      <c r="D43" s="1165"/>
      <c r="E43" s="1165"/>
      <c r="F43" s="1165"/>
      <c r="G43" s="1165"/>
      <c r="H43" s="1165"/>
      <c r="I43" s="1165"/>
      <c r="J43" s="1165"/>
      <c r="K43" s="1165"/>
      <c r="L43" s="1165"/>
      <c r="M43" s="1165"/>
      <c r="N43" s="1166"/>
      <c r="O43" s="1155" t="s">
        <v>19</v>
      </c>
      <c r="P43" s="1156"/>
      <c r="Q43" s="1106"/>
      <c r="R43" s="1106"/>
      <c r="S43" s="201" t="s">
        <v>10</v>
      </c>
      <c r="T43" s="1107"/>
      <c r="U43" s="1108"/>
      <c r="V43" s="202" t="s">
        <v>11</v>
      </c>
      <c r="W43" s="1120" t="s">
        <v>12</v>
      </c>
      <c r="X43" s="1120"/>
      <c r="Y43" s="1120" t="s">
        <v>19</v>
      </c>
      <c r="Z43" s="1163"/>
      <c r="AA43" s="1107"/>
      <c r="AB43" s="1108"/>
      <c r="AC43" s="203" t="s">
        <v>10</v>
      </c>
      <c r="AD43" s="1107"/>
      <c r="AE43" s="1108"/>
      <c r="AF43" s="202" t="s">
        <v>11</v>
      </c>
      <c r="AG43" s="202" t="s">
        <v>84</v>
      </c>
      <c r="AH43" s="202" t="str">
        <f>IF(Q43&gt;=1,(AA43*12+AD43)-(Q43*12+T43)+1,"")</f>
        <v/>
      </c>
      <c r="AI43" s="1120" t="s">
        <v>85</v>
      </c>
      <c r="AJ43" s="1120"/>
      <c r="AK43" s="204" t="s">
        <v>39</v>
      </c>
      <c r="AL43" s="160"/>
      <c r="AM43" s="193"/>
      <c r="AX43" s="198"/>
    </row>
    <row r="44" spans="1:51" s="171" customFormat="1" ht="25.5" customHeight="1" thickBot="1">
      <c r="A44" s="170"/>
      <c r="B44" s="1157" t="s">
        <v>244</v>
      </c>
      <c r="C44" s="1158"/>
      <c r="D44" s="1158"/>
      <c r="E44" s="1158"/>
      <c r="F44" s="205" t="b">
        <v>1</v>
      </c>
      <c r="G44" s="1152" t="s">
        <v>26</v>
      </c>
      <c r="H44" s="1153"/>
      <c r="I44" s="1175"/>
      <c r="J44" s="206" t="b">
        <v>0</v>
      </c>
      <c r="K44" s="1152" t="s">
        <v>49</v>
      </c>
      <c r="L44" s="1153"/>
      <c r="M44" s="1153"/>
      <c r="N44" s="1153"/>
      <c r="O44" s="1130"/>
      <c r="P44" s="207" t="b">
        <v>0</v>
      </c>
      <c r="Q44" s="1160" t="s">
        <v>50</v>
      </c>
      <c r="R44" s="1161"/>
      <c r="S44" s="1161"/>
      <c r="T44" s="1161"/>
      <c r="U44" s="1161"/>
      <c r="V44" s="1162"/>
      <c r="W44" s="207"/>
      <c r="X44" s="1160" t="s">
        <v>27</v>
      </c>
      <c r="Y44" s="1161"/>
      <c r="Z44" s="1162"/>
      <c r="AA44" s="207" t="b">
        <v>1</v>
      </c>
      <c r="AB44" s="1167" t="s">
        <v>23</v>
      </c>
      <c r="AC44" s="1168"/>
      <c r="AD44" s="208" t="s">
        <v>87</v>
      </c>
      <c r="AE44" s="1154"/>
      <c r="AF44" s="1154"/>
      <c r="AG44" s="1154"/>
      <c r="AH44" s="1154"/>
      <c r="AI44" s="1154"/>
      <c r="AJ44" s="974" t="s">
        <v>92</v>
      </c>
      <c r="AK44" s="1169"/>
      <c r="AL44" s="170"/>
      <c r="AM44" s="781" t="s">
        <v>2254</v>
      </c>
      <c r="AN44" s="790"/>
      <c r="AO44" s="790"/>
      <c r="AP44" s="790"/>
      <c r="AQ44" s="790"/>
      <c r="AR44" s="790"/>
      <c r="AS44" s="790"/>
      <c r="AT44" s="790"/>
      <c r="AU44" s="790"/>
      <c r="AV44" s="790"/>
      <c r="AW44" s="790"/>
      <c r="AX44" s="790"/>
      <c r="AY44" s="791"/>
    </row>
    <row r="45" spans="1:51" s="171" customFormat="1" ht="18.75" customHeight="1" thickBot="1">
      <c r="A45" s="170"/>
      <c r="B45" s="1008" t="s">
        <v>245</v>
      </c>
      <c r="C45" s="1009"/>
      <c r="D45" s="1009"/>
      <c r="E45" s="1009"/>
      <c r="F45" s="209" t="s">
        <v>105</v>
      </c>
      <c r="G45" s="210"/>
      <c r="H45" s="211"/>
      <c r="I45" s="211"/>
      <c r="J45" s="179"/>
      <c r="K45" s="211"/>
      <c r="L45" s="211"/>
      <c r="M45" s="211"/>
      <c r="N45" s="211"/>
      <c r="O45" s="211"/>
      <c r="P45" s="212"/>
      <c r="Q45" s="211"/>
      <c r="R45" s="211"/>
      <c r="S45" s="211"/>
      <c r="T45" s="211"/>
      <c r="U45" s="211"/>
      <c r="V45" s="211"/>
      <c r="W45" s="212"/>
      <c r="X45" s="211"/>
      <c r="Y45" s="211"/>
      <c r="Z45" s="179"/>
      <c r="AA45" s="179"/>
      <c r="AB45" s="211"/>
      <c r="AC45" s="211"/>
      <c r="AD45" s="211"/>
      <c r="AE45" s="211"/>
      <c r="AF45" s="211"/>
      <c r="AG45" s="211"/>
      <c r="AH45" s="211"/>
      <c r="AI45" s="211"/>
      <c r="AJ45" s="211"/>
      <c r="AK45" s="213"/>
      <c r="AL45" s="170"/>
    </row>
    <row r="46" spans="1:51" s="171" customFormat="1" ht="15" customHeight="1">
      <c r="A46" s="170"/>
      <c r="B46" s="1010"/>
      <c r="C46" s="824"/>
      <c r="D46" s="824"/>
      <c r="E46" s="824"/>
      <c r="F46" s="214" t="b">
        <v>1</v>
      </c>
      <c r="G46" s="215" t="s">
        <v>2289</v>
      </c>
      <c r="H46" s="179"/>
      <c r="I46" s="179"/>
      <c r="J46" s="179"/>
      <c r="K46" s="179"/>
      <c r="L46" s="179"/>
      <c r="M46" s="216" t="b">
        <v>1</v>
      </c>
      <c r="N46" s="215" t="s">
        <v>2290</v>
      </c>
      <c r="O46" s="179"/>
      <c r="P46" s="179"/>
      <c r="Q46" s="212"/>
      <c r="R46" s="212"/>
      <c r="S46" s="215"/>
      <c r="T46" s="216" t="b">
        <v>1</v>
      </c>
      <c r="U46" s="215" t="s">
        <v>23</v>
      </c>
      <c r="V46" s="212"/>
      <c r="W46" s="179"/>
      <c r="X46" s="215" t="s">
        <v>24</v>
      </c>
      <c r="Y46" s="1159"/>
      <c r="Z46" s="1159"/>
      <c r="AA46" s="1159"/>
      <c r="AB46" s="1159"/>
      <c r="AC46" s="1159"/>
      <c r="AD46" s="1159"/>
      <c r="AE46" s="1159"/>
      <c r="AF46" s="1159"/>
      <c r="AG46" s="1159"/>
      <c r="AH46" s="1159"/>
      <c r="AI46" s="1159"/>
      <c r="AJ46" s="1159"/>
      <c r="AK46" s="217" t="s">
        <v>25</v>
      </c>
      <c r="AL46" s="170"/>
      <c r="AM46" s="793" t="s">
        <v>2254</v>
      </c>
      <c r="AN46" s="1170"/>
      <c r="AO46" s="1170"/>
      <c r="AP46" s="1170"/>
      <c r="AQ46" s="1170"/>
      <c r="AR46" s="1170"/>
      <c r="AS46" s="1170"/>
      <c r="AT46" s="1170"/>
      <c r="AU46" s="1170"/>
      <c r="AV46" s="1170"/>
      <c r="AW46" s="1170"/>
      <c r="AX46" s="1170"/>
      <c r="AY46" s="1171"/>
    </row>
    <row r="47" spans="1:51" s="171" customFormat="1" ht="19.5" customHeight="1" thickBot="1">
      <c r="A47" s="170"/>
      <c r="B47" s="1010"/>
      <c r="C47" s="824"/>
      <c r="D47" s="824"/>
      <c r="E47" s="824"/>
      <c r="F47" s="218" t="s">
        <v>261</v>
      </c>
      <c r="G47" s="215"/>
      <c r="H47" s="179"/>
      <c r="I47" s="179"/>
      <c r="J47" s="179"/>
      <c r="K47" s="179"/>
      <c r="L47" s="179"/>
      <c r="M47" s="179"/>
      <c r="N47" s="179"/>
      <c r="O47" s="212"/>
      <c r="P47" s="212"/>
      <c r="Q47" s="215"/>
      <c r="R47" s="215"/>
      <c r="S47" s="215"/>
      <c r="T47" s="219"/>
      <c r="U47" s="219"/>
      <c r="V47" s="219"/>
      <c r="W47" s="219"/>
      <c r="X47" s="219"/>
      <c r="Z47" s="219"/>
      <c r="AA47" s="219"/>
      <c r="AB47" s="219"/>
      <c r="AC47" s="219"/>
      <c r="AD47" s="219"/>
      <c r="AE47" s="219"/>
      <c r="AF47" s="219"/>
      <c r="AG47" s="219"/>
      <c r="AH47" s="219"/>
      <c r="AI47" s="219"/>
      <c r="AJ47" s="219"/>
      <c r="AK47" s="217"/>
      <c r="AL47" s="170"/>
      <c r="AM47" s="1172"/>
      <c r="AN47" s="1173"/>
      <c r="AO47" s="1173"/>
      <c r="AP47" s="1173"/>
      <c r="AQ47" s="1173"/>
      <c r="AR47" s="1173"/>
      <c r="AS47" s="1173"/>
      <c r="AT47" s="1173"/>
      <c r="AU47" s="1173"/>
      <c r="AV47" s="1173"/>
      <c r="AW47" s="1173"/>
      <c r="AX47" s="1173"/>
      <c r="AY47" s="1174"/>
    </row>
    <row r="48" spans="1:51" s="171" customFormat="1" ht="20.25" customHeight="1">
      <c r="A48" s="170"/>
      <c r="B48" s="1010"/>
      <c r="C48" s="824"/>
      <c r="D48" s="824"/>
      <c r="E48" s="824"/>
      <c r="F48" s="1021"/>
      <c r="G48" s="1022"/>
      <c r="H48" s="1022"/>
      <c r="I48" s="1022"/>
      <c r="J48" s="1022"/>
      <c r="K48" s="1022"/>
      <c r="L48" s="1022"/>
      <c r="M48" s="1022"/>
      <c r="N48" s="1022"/>
      <c r="O48" s="1022"/>
      <c r="P48" s="1022"/>
      <c r="Q48" s="1022"/>
      <c r="R48" s="1022"/>
      <c r="S48" s="1022"/>
      <c r="T48" s="1022"/>
      <c r="U48" s="1022"/>
      <c r="V48" s="1022"/>
      <c r="W48" s="1022"/>
      <c r="X48" s="1022"/>
      <c r="Y48" s="1022"/>
      <c r="Z48" s="1022"/>
      <c r="AA48" s="1022"/>
      <c r="AB48" s="1022"/>
      <c r="AC48" s="1022"/>
      <c r="AD48" s="1022"/>
      <c r="AE48" s="1022"/>
      <c r="AF48" s="1022"/>
      <c r="AG48" s="1022"/>
      <c r="AH48" s="1022"/>
      <c r="AI48" s="1022"/>
      <c r="AJ48" s="1022"/>
      <c r="AK48" s="1023"/>
      <c r="AL48" s="170"/>
    </row>
    <row r="49" spans="1:55" s="171" customFormat="1" ht="18" customHeight="1">
      <c r="A49" s="170"/>
      <c r="B49" s="1010"/>
      <c r="C49" s="824"/>
      <c r="D49" s="824"/>
      <c r="E49" s="824"/>
      <c r="F49" s="1024"/>
      <c r="G49" s="1025"/>
      <c r="H49" s="1025"/>
      <c r="I49" s="1025"/>
      <c r="J49" s="1025"/>
      <c r="K49" s="1025"/>
      <c r="L49" s="1025"/>
      <c r="M49" s="1025"/>
      <c r="N49" s="1025"/>
      <c r="O49" s="1025"/>
      <c r="P49" s="1025"/>
      <c r="Q49" s="1025"/>
      <c r="R49" s="1025"/>
      <c r="S49" s="1025"/>
      <c r="T49" s="1025"/>
      <c r="U49" s="1025"/>
      <c r="V49" s="1025"/>
      <c r="W49" s="1025"/>
      <c r="X49" s="1025"/>
      <c r="Y49" s="1025"/>
      <c r="Z49" s="1025"/>
      <c r="AA49" s="1025"/>
      <c r="AB49" s="1025"/>
      <c r="AC49" s="1025"/>
      <c r="AD49" s="1025"/>
      <c r="AE49" s="1025"/>
      <c r="AF49" s="1025"/>
      <c r="AG49" s="1025"/>
      <c r="AH49" s="1025"/>
      <c r="AI49" s="1025"/>
      <c r="AJ49" s="1025"/>
      <c r="AK49" s="1026"/>
      <c r="AL49" s="170"/>
      <c r="AM49" s="220" t="s">
        <v>2305</v>
      </c>
      <c r="AR49" s="158" t="b">
        <v>0</v>
      </c>
      <c r="AS49" s="799" t="s">
        <v>2306</v>
      </c>
      <c r="AT49" s="799"/>
    </row>
    <row r="50" spans="1:55" s="171" customFormat="1" ht="18" customHeight="1">
      <c r="A50" s="170"/>
      <c r="B50" s="1010"/>
      <c r="C50" s="824"/>
      <c r="D50" s="824"/>
      <c r="E50" s="824"/>
      <c r="F50" s="1024"/>
      <c r="G50" s="1025"/>
      <c r="H50" s="1025"/>
      <c r="I50" s="1025"/>
      <c r="J50" s="1025"/>
      <c r="K50" s="1025"/>
      <c r="L50" s="1025"/>
      <c r="M50" s="1025"/>
      <c r="N50" s="1025"/>
      <c r="O50" s="1025"/>
      <c r="P50" s="1025"/>
      <c r="Q50" s="1025"/>
      <c r="R50" s="1025"/>
      <c r="S50" s="1025"/>
      <c r="T50" s="1025"/>
      <c r="U50" s="1025"/>
      <c r="V50" s="1025"/>
      <c r="W50" s="1025"/>
      <c r="X50" s="1025"/>
      <c r="Y50" s="1025"/>
      <c r="Z50" s="1025"/>
      <c r="AA50" s="1025"/>
      <c r="AB50" s="1025"/>
      <c r="AC50" s="1025"/>
      <c r="AD50" s="1025"/>
      <c r="AE50" s="1025"/>
      <c r="AF50" s="1025"/>
      <c r="AG50" s="1025"/>
      <c r="AH50" s="1025"/>
      <c r="AI50" s="1025"/>
      <c r="AJ50" s="1025"/>
      <c r="AK50" s="1026"/>
      <c r="AL50" s="170"/>
      <c r="AM50" s="158" t="b">
        <v>0</v>
      </c>
      <c r="AN50" s="799" t="s">
        <v>2300</v>
      </c>
      <c r="AO50" s="799"/>
      <c r="AP50" s="799"/>
      <c r="AR50" s="158" t="b">
        <v>0</v>
      </c>
      <c r="AS50" s="799" t="s">
        <v>2307</v>
      </c>
      <c r="AT50" s="799"/>
    </row>
    <row r="51" spans="1:55" s="171" customFormat="1" ht="18" customHeight="1">
      <c r="A51" s="170"/>
      <c r="B51" s="1010"/>
      <c r="C51" s="824"/>
      <c r="D51" s="824"/>
      <c r="E51" s="824"/>
      <c r="F51" s="1024"/>
      <c r="G51" s="1025"/>
      <c r="H51" s="1025"/>
      <c r="I51" s="1025"/>
      <c r="J51" s="1025"/>
      <c r="K51" s="1025"/>
      <c r="L51" s="1025"/>
      <c r="M51" s="1025"/>
      <c r="N51" s="1025"/>
      <c r="O51" s="1025"/>
      <c r="P51" s="1025"/>
      <c r="Q51" s="1025"/>
      <c r="R51" s="1025"/>
      <c r="S51" s="1025"/>
      <c r="T51" s="1025"/>
      <c r="U51" s="1025"/>
      <c r="V51" s="1025"/>
      <c r="W51" s="1025"/>
      <c r="X51" s="1025"/>
      <c r="Y51" s="1025"/>
      <c r="Z51" s="1025"/>
      <c r="AA51" s="1025"/>
      <c r="AB51" s="1025"/>
      <c r="AC51" s="1025"/>
      <c r="AD51" s="1025"/>
      <c r="AE51" s="1025"/>
      <c r="AF51" s="1025"/>
      <c r="AG51" s="1025"/>
      <c r="AH51" s="1025"/>
      <c r="AI51" s="1025"/>
      <c r="AJ51" s="1025"/>
      <c r="AK51" s="1026"/>
      <c r="AL51" s="170"/>
      <c r="AM51" s="158" t="b">
        <v>0</v>
      </c>
      <c r="AN51" s="799" t="s">
        <v>2301</v>
      </c>
      <c r="AO51" s="799"/>
      <c r="AP51" s="799"/>
      <c r="AR51" s="158" t="b">
        <v>0</v>
      </c>
      <c r="AS51" s="799" t="s">
        <v>2304</v>
      </c>
      <c r="AT51" s="799"/>
    </row>
    <row r="52" spans="1:55" s="171" customFormat="1" ht="18" customHeight="1">
      <c r="A52" s="170"/>
      <c r="B52" s="1010"/>
      <c r="C52" s="824"/>
      <c r="D52" s="824"/>
      <c r="E52" s="824"/>
      <c r="F52" s="1027"/>
      <c r="G52" s="1028"/>
      <c r="H52" s="1028"/>
      <c r="I52" s="1028"/>
      <c r="J52" s="1028"/>
      <c r="K52" s="1028"/>
      <c r="L52" s="1028"/>
      <c r="M52" s="1028"/>
      <c r="N52" s="1028"/>
      <c r="O52" s="1028"/>
      <c r="P52" s="1028"/>
      <c r="Q52" s="1028"/>
      <c r="R52" s="1028"/>
      <c r="S52" s="1028"/>
      <c r="T52" s="1028"/>
      <c r="U52" s="1028"/>
      <c r="V52" s="1028"/>
      <c r="W52" s="1028"/>
      <c r="X52" s="1028"/>
      <c r="Y52" s="1028"/>
      <c r="Z52" s="1028"/>
      <c r="AA52" s="1028"/>
      <c r="AB52" s="1028"/>
      <c r="AC52" s="1028"/>
      <c r="AD52" s="1028"/>
      <c r="AE52" s="1028"/>
      <c r="AF52" s="1028"/>
      <c r="AG52" s="1028"/>
      <c r="AH52" s="1028"/>
      <c r="AI52" s="1028"/>
      <c r="AJ52" s="1028"/>
      <c r="AK52" s="1029"/>
      <c r="AL52" s="170"/>
      <c r="AM52" s="158" t="b">
        <v>0</v>
      </c>
      <c r="AN52" s="799" t="s">
        <v>2302</v>
      </c>
      <c r="AO52" s="799"/>
      <c r="AP52" s="799"/>
      <c r="AR52" s="158" t="b">
        <v>0</v>
      </c>
      <c r="AS52" s="799" t="s">
        <v>2308</v>
      </c>
      <c r="AT52" s="799"/>
    </row>
    <row r="53" spans="1:55" s="171" customFormat="1" ht="18.75" customHeight="1">
      <c r="A53" s="170"/>
      <c r="B53" s="1010"/>
      <c r="C53" s="824"/>
      <c r="D53" s="824"/>
      <c r="E53" s="824"/>
      <c r="F53" s="221" t="s">
        <v>175</v>
      </c>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79"/>
      <c r="AH53" s="179"/>
      <c r="AI53" s="179"/>
      <c r="AJ53" s="179"/>
      <c r="AK53" s="222"/>
      <c r="AL53" s="170"/>
      <c r="AM53" s="158" t="b">
        <v>0</v>
      </c>
      <c r="AN53" s="799" t="s">
        <v>2303</v>
      </c>
      <c r="AO53" s="799"/>
      <c r="AP53" s="799"/>
      <c r="AQ53" s="163"/>
      <c r="AR53" s="158" t="b">
        <v>0</v>
      </c>
      <c r="AS53" s="799" t="s">
        <v>2309</v>
      </c>
      <c r="AT53" s="799"/>
      <c r="AV53" s="163"/>
      <c r="BC53" s="163"/>
    </row>
    <row r="54" spans="1:55" ht="18.75" customHeight="1">
      <c r="A54" s="160"/>
      <c r="B54" s="1011"/>
      <c r="C54" s="1012"/>
      <c r="D54" s="1012"/>
      <c r="E54" s="1012"/>
      <c r="F54" s="223" t="s">
        <v>86</v>
      </c>
      <c r="G54" s="224"/>
      <c r="H54" s="224"/>
      <c r="I54" s="224"/>
      <c r="J54" s="224"/>
      <c r="K54" s="224"/>
      <c r="L54" s="224"/>
      <c r="M54" s="1013" t="s">
        <v>2400</v>
      </c>
      <c r="N54" s="801"/>
      <c r="O54" s="801"/>
      <c r="P54" s="801"/>
      <c r="Q54" s="801"/>
      <c r="R54" s="219" t="s">
        <v>4</v>
      </c>
      <c r="S54" s="801"/>
      <c r="T54" s="801"/>
      <c r="U54" s="219" t="s">
        <v>28</v>
      </c>
      <c r="V54" s="219" t="s">
        <v>24</v>
      </c>
      <c r="W54" s="225"/>
      <c r="X54" s="226" t="s">
        <v>29</v>
      </c>
      <c r="Y54" s="219"/>
      <c r="Z54" s="219"/>
      <c r="AA54" s="225"/>
      <c r="AB54" s="226" t="s">
        <v>30</v>
      </c>
      <c r="AC54" s="219"/>
      <c r="AD54" s="219" t="s">
        <v>25</v>
      </c>
      <c r="AE54" s="227"/>
      <c r="AF54" s="227"/>
      <c r="AG54" s="227"/>
      <c r="AH54" s="227"/>
      <c r="AI54" s="227"/>
      <c r="AJ54" s="227"/>
      <c r="AK54" s="228"/>
      <c r="AL54" s="170"/>
      <c r="AM54" s="158" t="b">
        <v>0</v>
      </c>
      <c r="AN54" s="799" t="s">
        <v>2304</v>
      </c>
      <c r="AO54" s="799"/>
      <c r="AP54" s="799"/>
      <c r="AR54" s="158" t="b">
        <v>0</v>
      </c>
      <c r="AS54" s="799" t="s">
        <v>2310</v>
      </c>
      <c r="AT54" s="799"/>
    </row>
    <row r="55" spans="1:55" ht="24.75" customHeight="1">
      <c r="A55" s="160"/>
      <c r="B55" s="1065" t="s">
        <v>248</v>
      </c>
      <c r="C55" s="1066"/>
      <c r="D55" s="1066"/>
      <c r="E55" s="1067"/>
      <c r="F55" s="867"/>
      <c r="G55" s="869" t="s">
        <v>246</v>
      </c>
      <c r="H55" s="870"/>
      <c r="I55" s="871"/>
      <c r="J55" s="869" t="s">
        <v>247</v>
      </c>
      <c r="K55" s="870"/>
      <c r="L55" s="870"/>
      <c r="M55" s="1059"/>
      <c r="N55" s="1061"/>
      <c r="O55" s="1061"/>
      <c r="P55" s="1061"/>
      <c r="Q55" s="1061"/>
      <c r="R55" s="1061"/>
      <c r="S55" s="1061"/>
      <c r="T55" s="1061"/>
      <c r="U55" s="1061"/>
      <c r="V55" s="1061"/>
      <c r="W55" s="1061"/>
      <c r="X55" s="1061"/>
      <c r="Y55" s="1061"/>
      <c r="Z55" s="1061"/>
      <c r="AA55" s="1061"/>
      <c r="AB55" s="1061"/>
      <c r="AC55" s="1061"/>
      <c r="AD55" s="1061"/>
      <c r="AE55" s="1061"/>
      <c r="AF55" s="1061"/>
      <c r="AG55" s="1061"/>
      <c r="AH55" s="1061"/>
      <c r="AI55" s="1061"/>
      <c r="AJ55" s="1061"/>
      <c r="AK55" s="1062"/>
      <c r="AL55" s="227"/>
      <c r="AM55" s="171"/>
    </row>
    <row r="56" spans="1:55" ht="18.75" customHeight="1" thickBot="1">
      <c r="A56" s="160"/>
      <c r="B56" s="1068"/>
      <c r="C56" s="1069"/>
      <c r="D56" s="1069"/>
      <c r="E56" s="1070"/>
      <c r="F56" s="868"/>
      <c r="G56" s="872"/>
      <c r="H56" s="873"/>
      <c r="I56" s="874"/>
      <c r="J56" s="872"/>
      <c r="K56" s="1060"/>
      <c r="L56" s="1060"/>
      <c r="M56" s="874"/>
      <c r="N56" s="1063"/>
      <c r="O56" s="1063"/>
      <c r="P56" s="1063"/>
      <c r="Q56" s="1063"/>
      <c r="R56" s="1063"/>
      <c r="S56" s="1063"/>
      <c r="T56" s="1063"/>
      <c r="U56" s="1063"/>
      <c r="V56" s="1063"/>
      <c r="W56" s="1063"/>
      <c r="X56" s="1063"/>
      <c r="Y56" s="1063"/>
      <c r="Z56" s="1063"/>
      <c r="AA56" s="1063"/>
      <c r="AB56" s="1063"/>
      <c r="AC56" s="1063"/>
      <c r="AD56" s="1063"/>
      <c r="AE56" s="1063"/>
      <c r="AF56" s="1063"/>
      <c r="AG56" s="1063"/>
      <c r="AH56" s="1063"/>
      <c r="AI56" s="1063"/>
      <c r="AJ56" s="1063"/>
      <c r="AK56" s="1064"/>
      <c r="AL56" s="227"/>
      <c r="AX56" s="198"/>
    </row>
    <row r="57" spans="1:55" ht="7.5" customHeight="1">
      <c r="A57" s="160"/>
      <c r="B57" s="229"/>
      <c r="C57" s="229"/>
      <c r="D57" s="229"/>
      <c r="E57" s="229"/>
      <c r="F57" s="226"/>
      <c r="G57" s="227"/>
      <c r="H57" s="227"/>
      <c r="I57" s="227"/>
      <c r="J57" s="227"/>
      <c r="K57" s="227"/>
      <c r="L57" s="227"/>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170"/>
      <c r="AM57" s="171"/>
      <c r="AW57" s="198"/>
    </row>
    <row r="58" spans="1:55" ht="21" customHeight="1">
      <c r="A58" s="160"/>
      <c r="B58" s="1051" t="s">
        <v>2127</v>
      </c>
      <c r="C58" s="1051"/>
      <c r="D58" s="1051"/>
      <c r="E58" s="1051"/>
      <c r="F58" s="1051"/>
      <c r="G58" s="1051"/>
      <c r="H58" s="1051"/>
      <c r="I58" s="1051"/>
      <c r="J58" s="1051"/>
      <c r="K58" s="1051"/>
      <c r="L58" s="1051"/>
      <c r="M58" s="1051"/>
      <c r="N58" s="1051"/>
      <c r="O58" s="1051"/>
      <c r="P58" s="1051"/>
      <c r="Q58" s="1051"/>
      <c r="R58" s="1051"/>
      <c r="S58" s="1051"/>
      <c r="T58" s="1051"/>
      <c r="U58" s="1051"/>
      <c r="V58" s="1051"/>
      <c r="W58" s="1051"/>
      <c r="X58" s="1051"/>
      <c r="Y58" s="1051"/>
      <c r="Z58" s="1051"/>
      <c r="AA58" s="1051"/>
      <c r="AB58" s="1051"/>
      <c r="AC58" s="1051"/>
      <c r="AD58" s="1051"/>
      <c r="AE58" s="1051"/>
      <c r="AF58" s="1051"/>
      <c r="AG58" s="1051"/>
      <c r="AH58" s="1051"/>
      <c r="AI58" s="1051"/>
      <c r="AJ58" s="1051"/>
      <c r="AK58" s="1051"/>
      <c r="AL58" s="160"/>
    </row>
    <row r="59" spans="1:55" ht="33" customHeight="1" thickBot="1">
      <c r="A59" s="160"/>
      <c r="B59" s="876" t="s">
        <v>2297</v>
      </c>
      <c r="C59" s="876"/>
      <c r="D59" s="876"/>
      <c r="E59" s="876"/>
      <c r="F59" s="876"/>
      <c r="G59" s="876"/>
      <c r="H59" s="876"/>
      <c r="I59" s="876"/>
      <c r="J59" s="876"/>
      <c r="K59" s="876"/>
      <c r="L59" s="876"/>
      <c r="M59" s="876"/>
      <c r="N59" s="876"/>
      <c r="O59" s="876"/>
      <c r="P59" s="876"/>
      <c r="Q59" s="876"/>
      <c r="R59" s="876"/>
      <c r="S59" s="876"/>
      <c r="T59" s="876"/>
      <c r="U59" s="876"/>
      <c r="V59" s="876"/>
      <c r="W59" s="876"/>
      <c r="X59" s="876"/>
      <c r="Y59" s="876"/>
      <c r="Z59" s="876"/>
      <c r="AA59" s="876"/>
      <c r="AB59" s="876"/>
      <c r="AC59" s="876"/>
      <c r="AD59" s="876"/>
      <c r="AE59" s="876"/>
      <c r="AF59" s="876"/>
      <c r="AG59" s="876"/>
      <c r="AH59" s="876"/>
      <c r="AI59" s="876"/>
      <c r="AJ59" s="876"/>
      <c r="AK59" s="876"/>
      <c r="AL59" s="160"/>
      <c r="AS59" s="198"/>
    </row>
    <row r="60" spans="1:55" ht="18.75" customHeight="1">
      <c r="A60" s="160"/>
      <c r="B60" s="230" t="s">
        <v>8</v>
      </c>
      <c r="C60" s="1198" t="s">
        <v>2178</v>
      </c>
      <c r="D60" s="1199"/>
      <c r="E60" s="1199"/>
      <c r="F60" s="1199"/>
      <c r="G60" s="1199"/>
      <c r="H60" s="1199"/>
      <c r="I60" s="1199"/>
      <c r="J60" s="1199"/>
      <c r="K60" s="1199"/>
      <c r="L60" s="1199"/>
      <c r="M60" s="1199"/>
      <c r="N60" s="1199"/>
      <c r="O60" s="1199"/>
      <c r="P60" s="1199"/>
      <c r="Q60" s="1199"/>
      <c r="R60" s="1199"/>
      <c r="S60" s="1200"/>
      <c r="T60" s="1204">
        <f>SUM('別紙様式2-3（６月以降分）'!L6,'別紙様式2-4（年度内の区分変更がある場合に記入）'!L6)</f>
        <v>0</v>
      </c>
      <c r="U60" s="1205"/>
      <c r="V60" s="1205"/>
      <c r="W60" s="1205"/>
      <c r="X60" s="1205"/>
      <c r="Y60" s="1206"/>
      <c r="Z60" s="190" t="s">
        <v>1</v>
      </c>
      <c r="AA60" s="179" t="s">
        <v>166</v>
      </c>
      <c r="AB60" s="1052" t="str">
        <f>IFERROR(IF(T61&gt;=T60,"○","×"),"")</f>
        <v>○</v>
      </c>
      <c r="AC60" s="231"/>
      <c r="AD60" s="232"/>
      <c r="AE60" s="232"/>
      <c r="AF60" s="232"/>
      <c r="AG60" s="232"/>
      <c r="AH60" s="232"/>
      <c r="AI60" s="232"/>
      <c r="AJ60" s="232"/>
      <c r="AK60" s="232"/>
      <c r="AL60" s="160"/>
      <c r="AM60" s="793" t="s">
        <v>2298</v>
      </c>
      <c r="AN60" s="794"/>
      <c r="AO60" s="794"/>
      <c r="AP60" s="794"/>
      <c r="AQ60" s="794"/>
      <c r="AR60" s="794"/>
      <c r="AS60" s="794"/>
      <c r="AT60" s="794"/>
      <c r="AU60" s="794"/>
      <c r="AV60" s="794"/>
      <c r="AW60" s="794"/>
      <c r="AX60" s="794"/>
      <c r="AY60" s="795"/>
    </row>
    <row r="61" spans="1:55" ht="27" customHeight="1" thickBot="1">
      <c r="A61" s="160"/>
      <c r="B61" s="230" t="s">
        <v>9</v>
      </c>
      <c r="C61" s="1201" t="s">
        <v>2108</v>
      </c>
      <c r="D61" s="1202"/>
      <c r="E61" s="1202"/>
      <c r="F61" s="1202"/>
      <c r="G61" s="1202"/>
      <c r="H61" s="1202"/>
      <c r="I61" s="1202"/>
      <c r="J61" s="1202"/>
      <c r="K61" s="1202"/>
      <c r="L61" s="1202"/>
      <c r="M61" s="1202"/>
      <c r="N61" s="1202"/>
      <c r="O61" s="1202"/>
      <c r="P61" s="1202"/>
      <c r="Q61" s="1202"/>
      <c r="R61" s="1202"/>
      <c r="S61" s="1203"/>
      <c r="T61" s="1207"/>
      <c r="U61" s="1208"/>
      <c r="V61" s="1208"/>
      <c r="W61" s="1208"/>
      <c r="X61" s="1208"/>
      <c r="Y61" s="1209"/>
      <c r="Z61" s="181" t="s">
        <v>1</v>
      </c>
      <c r="AA61" s="179" t="s">
        <v>166</v>
      </c>
      <c r="AB61" s="1053"/>
      <c r="AC61" s="231"/>
      <c r="AD61" s="232"/>
      <c r="AE61" s="232"/>
      <c r="AF61" s="232"/>
      <c r="AG61" s="232"/>
      <c r="AH61" s="232"/>
      <c r="AI61" s="232"/>
      <c r="AJ61" s="232"/>
      <c r="AK61" s="232"/>
      <c r="AL61" s="160"/>
      <c r="AM61" s="796"/>
      <c r="AN61" s="797"/>
      <c r="AO61" s="797"/>
      <c r="AP61" s="797"/>
      <c r="AQ61" s="797"/>
      <c r="AR61" s="797"/>
      <c r="AS61" s="797"/>
      <c r="AT61" s="797"/>
      <c r="AU61" s="797"/>
      <c r="AV61" s="797"/>
      <c r="AW61" s="797"/>
      <c r="AX61" s="797"/>
      <c r="AY61" s="798"/>
    </row>
    <row r="62" spans="1:55" ht="3.75" customHeight="1">
      <c r="A62" s="160"/>
      <c r="B62" s="195"/>
      <c r="C62" s="233"/>
      <c r="D62" s="212"/>
      <c r="E62" s="212"/>
      <c r="F62" s="212"/>
      <c r="G62" s="212"/>
      <c r="H62" s="212"/>
      <c r="I62" s="212"/>
      <c r="J62" s="212"/>
      <c r="K62" s="212"/>
      <c r="L62" s="212"/>
      <c r="M62" s="212"/>
      <c r="N62" s="212"/>
      <c r="O62" s="212"/>
      <c r="P62" s="212"/>
      <c r="Q62" s="212"/>
      <c r="R62" s="212"/>
      <c r="S62" s="212"/>
      <c r="T62" s="212"/>
      <c r="U62" s="212"/>
      <c r="V62" s="212"/>
      <c r="W62" s="212"/>
      <c r="X62" s="212"/>
      <c r="Y62" s="212"/>
      <c r="Z62" s="212"/>
      <c r="AA62" s="212"/>
      <c r="AB62" s="212"/>
      <c r="AC62" s="212"/>
      <c r="AD62" s="212"/>
      <c r="AE62" s="212"/>
      <c r="AF62" s="212"/>
      <c r="AG62" s="212"/>
      <c r="AH62" s="212"/>
      <c r="AI62" s="212"/>
      <c r="AJ62" s="212"/>
      <c r="AK62" s="212"/>
      <c r="AL62" s="212"/>
      <c r="AM62" s="234"/>
      <c r="AN62" s="234"/>
      <c r="AO62" s="234"/>
      <c r="AP62" s="234"/>
      <c r="AX62" s="198"/>
    </row>
    <row r="63" spans="1:55">
      <c r="A63" s="160"/>
      <c r="B63" s="195" t="s">
        <v>47</v>
      </c>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c r="AE63" s="162"/>
      <c r="AF63" s="162"/>
      <c r="AG63" s="162"/>
      <c r="AH63" s="162"/>
      <c r="AI63" s="162"/>
      <c r="AJ63" s="162"/>
      <c r="AK63" s="162"/>
      <c r="AL63" s="235"/>
      <c r="AM63" s="234"/>
      <c r="AN63" s="234"/>
      <c r="AO63" s="234"/>
      <c r="AP63" s="234"/>
      <c r="AX63" s="198"/>
    </row>
    <row r="64" spans="1:55" ht="33.75" customHeight="1">
      <c r="A64" s="160"/>
      <c r="B64" s="196" t="s">
        <v>48</v>
      </c>
      <c r="C64" s="875" t="s">
        <v>2380</v>
      </c>
      <c r="D64" s="875"/>
      <c r="E64" s="875"/>
      <c r="F64" s="875"/>
      <c r="G64" s="875"/>
      <c r="H64" s="875"/>
      <c r="I64" s="875"/>
      <c r="J64" s="875"/>
      <c r="K64" s="875"/>
      <c r="L64" s="875"/>
      <c r="M64" s="875"/>
      <c r="N64" s="875"/>
      <c r="O64" s="875"/>
      <c r="P64" s="875"/>
      <c r="Q64" s="875"/>
      <c r="R64" s="875"/>
      <c r="S64" s="875"/>
      <c r="T64" s="875"/>
      <c r="U64" s="875"/>
      <c r="V64" s="875"/>
      <c r="W64" s="875"/>
      <c r="X64" s="875"/>
      <c r="Y64" s="875"/>
      <c r="Z64" s="875"/>
      <c r="AA64" s="875"/>
      <c r="AB64" s="875"/>
      <c r="AC64" s="875"/>
      <c r="AD64" s="875"/>
      <c r="AE64" s="875"/>
      <c r="AF64" s="875"/>
      <c r="AG64" s="875"/>
      <c r="AH64" s="875"/>
      <c r="AI64" s="875"/>
      <c r="AJ64" s="875"/>
      <c r="AK64" s="875"/>
      <c r="AL64" s="235"/>
      <c r="AM64" s="234"/>
      <c r="AN64" s="234"/>
      <c r="AO64" s="234"/>
      <c r="AP64" s="234"/>
      <c r="AX64" s="198"/>
    </row>
    <row r="65" spans="1:74" ht="7.5" customHeight="1">
      <c r="A65" s="160"/>
      <c r="B65" s="196"/>
      <c r="C65" s="236"/>
      <c r="D65" s="236"/>
      <c r="E65" s="236"/>
      <c r="F65" s="236"/>
      <c r="G65" s="236"/>
      <c r="H65" s="236"/>
      <c r="I65" s="236"/>
      <c r="J65" s="236"/>
      <c r="K65" s="236"/>
      <c r="L65" s="236"/>
      <c r="M65" s="236"/>
      <c r="N65" s="236"/>
      <c r="O65" s="236"/>
      <c r="P65" s="236"/>
      <c r="Q65" s="236"/>
      <c r="R65" s="236"/>
      <c r="S65" s="236"/>
      <c r="T65" s="236"/>
      <c r="U65" s="236"/>
      <c r="V65" s="236"/>
      <c r="W65" s="236"/>
      <c r="X65" s="236"/>
      <c r="Y65" s="236"/>
      <c r="Z65" s="236"/>
      <c r="AA65" s="236"/>
      <c r="AB65" s="236"/>
      <c r="AC65" s="236"/>
      <c r="AD65" s="236"/>
      <c r="AE65" s="236"/>
      <c r="AF65" s="236"/>
      <c r="AG65" s="236"/>
      <c r="AH65" s="236"/>
      <c r="AI65" s="236"/>
      <c r="AJ65" s="236"/>
      <c r="AK65" s="236"/>
      <c r="AL65" s="235"/>
      <c r="AM65" s="234"/>
      <c r="AN65" s="234"/>
      <c r="AO65" s="234"/>
      <c r="AP65" s="234"/>
      <c r="AX65" s="198"/>
    </row>
    <row r="66" spans="1:74" ht="30.75" customHeight="1" thickBot="1">
      <c r="A66" s="160"/>
      <c r="B66" s="1071" t="s">
        <v>2351</v>
      </c>
      <c r="C66" s="1071"/>
      <c r="D66" s="1071"/>
      <c r="E66" s="1071"/>
      <c r="F66" s="1071"/>
      <c r="G66" s="1071"/>
      <c r="H66" s="1071"/>
      <c r="I66" s="1071"/>
      <c r="J66" s="1071"/>
      <c r="K66" s="1071"/>
      <c r="L66" s="1071"/>
      <c r="M66" s="1071"/>
      <c r="N66" s="1071"/>
      <c r="O66" s="1071"/>
      <c r="P66" s="1071"/>
      <c r="Q66" s="1071"/>
      <c r="R66" s="1071"/>
      <c r="S66" s="1071"/>
      <c r="T66" s="1071"/>
      <c r="U66" s="1071"/>
      <c r="V66" s="1071"/>
      <c r="W66" s="1071"/>
      <c r="X66" s="1071"/>
      <c r="Y66" s="1071"/>
      <c r="Z66" s="1071"/>
      <c r="AA66" s="1071"/>
      <c r="AB66" s="1071"/>
      <c r="AC66" s="1071"/>
      <c r="AD66" s="1071"/>
      <c r="AE66" s="1071"/>
      <c r="AF66" s="1071"/>
      <c r="AG66" s="1071"/>
      <c r="AH66" s="1071"/>
      <c r="AI66" s="1071"/>
      <c r="AJ66" s="1071"/>
      <c r="AK66" s="1071"/>
      <c r="AL66" s="160"/>
    </row>
    <row r="67" spans="1:74" ht="23.25" customHeight="1" thickBot="1">
      <c r="A67" s="160"/>
      <c r="B67" s="1054" t="s">
        <v>262</v>
      </c>
      <c r="C67" s="816"/>
      <c r="D67" s="816"/>
      <c r="E67" s="816"/>
      <c r="F67" s="816"/>
      <c r="G67" s="816"/>
      <c r="H67" s="816"/>
      <c r="I67" s="816"/>
      <c r="J67" s="816"/>
      <c r="K67" s="816"/>
      <c r="L67" s="816"/>
      <c r="M67" s="816"/>
      <c r="N67" s="816"/>
      <c r="O67" s="816"/>
      <c r="P67" s="816"/>
      <c r="Q67" s="816"/>
      <c r="R67" s="816"/>
      <c r="S67" s="817"/>
      <c r="T67" s="963">
        <f>SUM('別紙様式2-3（６月以降分）'!L7,'別紙様式2-4（年度内の区分変更がある場合に記入）'!L7)</f>
        <v>0</v>
      </c>
      <c r="U67" s="964"/>
      <c r="V67" s="964"/>
      <c r="W67" s="964"/>
      <c r="X67" s="964"/>
      <c r="Y67" s="237" t="s">
        <v>1</v>
      </c>
      <c r="Z67" s="238" t="s">
        <v>2317</v>
      </c>
      <c r="AA67" s="239"/>
      <c r="AB67" s="160"/>
      <c r="AC67" s="160"/>
      <c r="AD67" s="160"/>
      <c r="AE67" s="160"/>
      <c r="AF67" s="160"/>
      <c r="AG67" s="160" t="s">
        <v>166</v>
      </c>
      <c r="AH67" s="240" t="str">
        <f>IF(T68&lt;T67,"×","")</f>
        <v/>
      </c>
      <c r="AI67" s="160"/>
      <c r="AJ67" s="160"/>
      <c r="AK67" s="160"/>
      <c r="AL67" s="160"/>
      <c r="AM67" s="781" t="s">
        <v>2381</v>
      </c>
      <c r="AN67" s="782"/>
      <c r="AO67" s="782"/>
      <c r="AP67" s="782"/>
      <c r="AQ67" s="782"/>
      <c r="AR67" s="782"/>
      <c r="AS67" s="782"/>
      <c r="AT67" s="782"/>
      <c r="AU67" s="782"/>
      <c r="AV67" s="782"/>
      <c r="AW67" s="782"/>
      <c r="AX67" s="782"/>
      <c r="AY67" s="783"/>
    </row>
    <row r="68" spans="1:74" ht="23.25" customHeight="1" thickBot="1">
      <c r="A68" s="160"/>
      <c r="B68" s="1032" t="s">
        <v>2375</v>
      </c>
      <c r="C68" s="1033"/>
      <c r="D68" s="1033"/>
      <c r="E68" s="1033"/>
      <c r="F68" s="1033"/>
      <c r="G68" s="1033"/>
      <c r="H68" s="1033"/>
      <c r="I68" s="1033"/>
      <c r="J68" s="1033"/>
      <c r="K68" s="1033"/>
      <c r="L68" s="1033"/>
      <c r="M68" s="1033"/>
      <c r="N68" s="1033"/>
      <c r="O68" s="1033"/>
      <c r="P68" s="1033"/>
      <c r="Q68" s="1033"/>
      <c r="R68" s="1033"/>
      <c r="S68" s="1033"/>
      <c r="T68" s="889"/>
      <c r="U68" s="890"/>
      <c r="V68" s="890"/>
      <c r="W68" s="890"/>
      <c r="X68" s="891"/>
      <c r="Y68" s="241" t="s">
        <v>1</v>
      </c>
      <c r="Z68" s="160"/>
      <c r="AA68" s="242" t="s">
        <v>24</v>
      </c>
      <c r="AB68" s="840">
        <f>IFERROR(T69/T67*100,0)</f>
        <v>0</v>
      </c>
      <c r="AC68" s="841"/>
      <c r="AD68" s="842"/>
      <c r="AE68" s="243" t="s">
        <v>138</v>
      </c>
      <c r="AF68" s="243" t="s">
        <v>25</v>
      </c>
      <c r="AG68" s="160" t="s">
        <v>238</v>
      </c>
      <c r="AH68" s="188" t="str">
        <f>IF(T67=0,"",(IF(AB68&gt;=200/3,"○","×")))</f>
        <v/>
      </c>
      <c r="AI68" s="226"/>
      <c r="AJ68" s="226"/>
      <c r="AK68" s="226"/>
      <c r="AL68" s="160"/>
      <c r="AM68" s="781" t="s">
        <v>2353</v>
      </c>
      <c r="AN68" s="782"/>
      <c r="AO68" s="782"/>
      <c r="AP68" s="782"/>
      <c r="AQ68" s="782"/>
      <c r="AR68" s="782"/>
      <c r="AS68" s="782"/>
      <c r="AT68" s="782"/>
      <c r="AU68" s="782"/>
      <c r="AV68" s="782"/>
      <c r="AW68" s="782"/>
      <c r="AX68" s="782"/>
      <c r="AY68" s="783"/>
    </row>
    <row r="69" spans="1:74" ht="19.5" customHeight="1" thickBot="1">
      <c r="A69" s="160"/>
      <c r="B69" s="244"/>
      <c r="C69" s="1030" t="s">
        <v>2377</v>
      </c>
      <c r="D69" s="1030"/>
      <c r="E69" s="1030"/>
      <c r="F69" s="1030"/>
      <c r="G69" s="1030"/>
      <c r="H69" s="1030"/>
      <c r="I69" s="1030"/>
      <c r="J69" s="1030"/>
      <c r="K69" s="1030"/>
      <c r="L69" s="1030"/>
      <c r="M69" s="1030"/>
      <c r="N69" s="1030"/>
      <c r="O69" s="1030"/>
      <c r="P69" s="1030"/>
      <c r="Q69" s="1030"/>
      <c r="R69" s="1030"/>
      <c r="S69" s="1030"/>
      <c r="T69" s="1176"/>
      <c r="U69" s="1177"/>
      <c r="V69" s="1177"/>
      <c r="W69" s="1177"/>
      <c r="X69" s="1178"/>
      <c r="Y69" s="245" t="s">
        <v>1</v>
      </c>
      <c r="Z69" s="246" t="s">
        <v>2317</v>
      </c>
      <c r="AA69" s="135"/>
      <c r="AB69" s="247"/>
      <c r="AC69" s="248"/>
      <c r="AD69" s="249"/>
      <c r="AE69" s="249"/>
      <c r="AF69" s="243"/>
      <c r="AG69" s="160"/>
      <c r="AH69" s="160"/>
      <c r="AI69" s="226"/>
      <c r="AJ69" s="160"/>
      <c r="AK69" s="226"/>
      <c r="AL69" s="226"/>
    </row>
    <row r="70" spans="1:74" ht="16.5" customHeight="1">
      <c r="A70" s="160"/>
      <c r="B70" s="250"/>
      <c r="C70" s="1031"/>
      <c r="D70" s="1031"/>
      <c r="E70" s="1031"/>
      <c r="F70" s="1031"/>
      <c r="G70" s="1031"/>
      <c r="H70" s="1031"/>
      <c r="I70" s="1031"/>
      <c r="J70" s="1031"/>
      <c r="K70" s="1031"/>
      <c r="L70" s="1031"/>
      <c r="M70" s="1031"/>
      <c r="N70" s="1031"/>
      <c r="O70" s="1031"/>
      <c r="P70" s="1031"/>
      <c r="Q70" s="1031"/>
      <c r="R70" s="1031"/>
      <c r="S70" s="1031"/>
      <c r="T70" s="251" t="s">
        <v>24</v>
      </c>
      <c r="U70" s="877">
        <f>T69/10</f>
        <v>0</v>
      </c>
      <c r="V70" s="877"/>
      <c r="W70" s="877"/>
      <c r="X70" s="136" t="s">
        <v>1</v>
      </c>
      <c r="Y70" s="78" t="s">
        <v>25</v>
      </c>
      <c r="Z70" s="160"/>
      <c r="AA70" s="160"/>
      <c r="AB70" s="160"/>
      <c r="AC70" s="160"/>
      <c r="AD70" s="160"/>
      <c r="AE70" s="160"/>
      <c r="AF70" s="160"/>
      <c r="AG70" s="160"/>
      <c r="AH70" s="252"/>
      <c r="AI70" s="226"/>
      <c r="AJ70" s="226"/>
      <c r="AK70" s="226"/>
      <c r="AL70" s="226"/>
    </row>
    <row r="71" spans="1:74" ht="9.75" customHeight="1">
      <c r="A71" s="160"/>
      <c r="B71" s="160"/>
      <c r="C71" s="160"/>
      <c r="D71" s="160"/>
      <c r="E71" s="160"/>
      <c r="F71" s="160"/>
      <c r="G71" s="160"/>
      <c r="H71" s="160"/>
      <c r="I71" s="160"/>
      <c r="J71" s="160"/>
      <c r="K71" s="160"/>
      <c r="L71" s="160"/>
      <c r="M71" s="160"/>
      <c r="N71" s="160"/>
      <c r="O71" s="160"/>
      <c r="P71" s="160"/>
      <c r="Q71" s="160"/>
      <c r="R71" s="160"/>
      <c r="S71" s="160"/>
      <c r="T71" s="160"/>
      <c r="U71" s="160"/>
      <c r="V71" s="160"/>
      <c r="W71" s="160"/>
      <c r="X71" s="160"/>
      <c r="Y71" s="160"/>
      <c r="Z71" s="160"/>
      <c r="AA71" s="160"/>
      <c r="AB71" s="160"/>
      <c r="AC71" s="160"/>
      <c r="AD71" s="160"/>
      <c r="AE71" s="160"/>
      <c r="AF71" s="160"/>
      <c r="AG71" s="160"/>
      <c r="AH71" s="160"/>
      <c r="AI71" s="160"/>
      <c r="AJ71" s="226"/>
      <c r="AK71" s="226"/>
      <c r="AL71" s="226"/>
    </row>
    <row r="72" spans="1:74" ht="20.25" customHeight="1">
      <c r="A72" s="160"/>
      <c r="B72" s="1181" t="s">
        <v>2245</v>
      </c>
      <c r="C72" s="1043"/>
      <c r="D72" s="1043"/>
      <c r="E72" s="1043"/>
      <c r="F72" s="1043"/>
      <c r="G72" s="1043"/>
      <c r="H72" s="1043"/>
      <c r="I72" s="1043"/>
      <c r="J72" s="1043"/>
      <c r="K72" s="1043"/>
      <c r="L72" s="1043"/>
      <c r="M72" s="1043"/>
      <c r="N72" s="1043"/>
      <c r="O72" s="1043"/>
      <c r="P72" s="1043"/>
      <c r="Q72" s="1043"/>
      <c r="R72" s="1043"/>
      <c r="S72" s="1043"/>
      <c r="T72" s="1043"/>
      <c r="U72" s="1043"/>
      <c r="V72" s="1043"/>
      <c r="W72" s="1043"/>
      <c r="X72" s="1043"/>
      <c r="Y72" s="1043"/>
      <c r="Z72" s="1043"/>
      <c r="AA72" s="1043"/>
      <c r="AB72" s="1043"/>
      <c r="AC72" s="1043"/>
      <c r="AD72" s="1043"/>
      <c r="AE72" s="1043"/>
      <c r="AF72" s="1043"/>
      <c r="AG72" s="1043"/>
      <c r="AH72" s="1043"/>
      <c r="AI72" s="1043"/>
      <c r="AJ72" s="1043"/>
      <c r="AK72" s="1043"/>
      <c r="AL72" s="160"/>
    </row>
    <row r="73" spans="1:74" s="253" customFormat="1" ht="14.25" customHeight="1">
      <c r="A73" s="195"/>
      <c r="B73" s="195"/>
      <c r="C73" s="233" t="s">
        <v>2148</v>
      </c>
      <c r="D73" s="212"/>
      <c r="E73" s="212"/>
      <c r="F73" s="212"/>
      <c r="G73" s="212"/>
      <c r="H73" s="212"/>
      <c r="I73" s="212"/>
      <c r="J73" s="212"/>
      <c r="K73" s="212"/>
      <c r="L73" s="212"/>
      <c r="M73" s="212"/>
      <c r="N73" s="212"/>
      <c r="O73" s="212"/>
      <c r="P73" s="212"/>
      <c r="Q73" s="212"/>
      <c r="R73" s="212"/>
      <c r="S73" s="212"/>
      <c r="T73" s="212"/>
      <c r="U73" s="212"/>
      <c r="V73" s="212"/>
      <c r="W73" s="212"/>
      <c r="X73" s="212"/>
      <c r="Y73" s="212"/>
      <c r="Z73" s="212"/>
      <c r="AA73" s="212"/>
      <c r="AB73" s="212"/>
      <c r="AC73" s="212"/>
      <c r="AD73" s="212"/>
      <c r="AE73" s="212"/>
      <c r="AF73" s="212"/>
      <c r="AG73" s="212"/>
      <c r="AH73" s="212"/>
      <c r="AI73" s="212"/>
      <c r="AJ73" s="212"/>
      <c r="AK73" s="212"/>
      <c r="AL73" s="212"/>
      <c r="AN73" s="254"/>
      <c r="AO73" s="254"/>
      <c r="AP73" s="254"/>
      <c r="AQ73" s="254"/>
      <c r="AR73" s="254"/>
      <c r="AS73" s="254"/>
      <c r="AT73" s="254"/>
      <c r="AU73" s="254"/>
      <c r="AV73" s="254"/>
      <c r="AW73" s="254"/>
      <c r="AX73" s="254"/>
      <c r="AY73" s="254"/>
      <c r="AZ73" s="254"/>
      <c r="BA73" s="254"/>
      <c r="BB73" s="254"/>
      <c r="BC73" s="254"/>
      <c r="BD73" s="254"/>
      <c r="BE73" s="254"/>
      <c r="BF73" s="254"/>
      <c r="BG73" s="254"/>
      <c r="BH73" s="254"/>
      <c r="BI73" s="254"/>
      <c r="BJ73" s="254"/>
      <c r="BK73" s="254"/>
      <c r="BL73" s="254"/>
      <c r="BM73" s="254"/>
    </row>
    <row r="74" spans="1:74" s="253" customFormat="1" ht="15" customHeight="1" thickBot="1">
      <c r="A74" s="195"/>
      <c r="B74" s="195"/>
      <c r="C74" s="166" t="s">
        <v>249</v>
      </c>
      <c r="D74" s="901" t="s">
        <v>2376</v>
      </c>
      <c r="E74" s="901"/>
      <c r="F74" s="901"/>
      <c r="G74" s="901"/>
      <c r="H74" s="901"/>
      <c r="I74" s="901"/>
      <c r="J74" s="901"/>
      <c r="K74" s="901"/>
      <c r="L74" s="901"/>
      <c r="M74" s="901"/>
      <c r="N74" s="901"/>
      <c r="O74" s="901"/>
      <c r="P74" s="901"/>
      <c r="Q74" s="901"/>
      <c r="R74" s="901"/>
      <c r="S74" s="901"/>
      <c r="T74" s="901"/>
      <c r="U74" s="901"/>
      <c r="V74" s="901"/>
      <c r="W74" s="901"/>
      <c r="X74" s="901"/>
      <c r="Y74" s="901"/>
      <c r="Z74" s="901"/>
      <c r="AA74" s="901"/>
      <c r="AB74" s="901"/>
      <c r="AC74" s="901"/>
      <c r="AD74" s="901"/>
      <c r="AE74" s="901"/>
      <c r="AF74" s="901"/>
      <c r="AG74" s="901"/>
      <c r="AH74" s="901"/>
      <c r="AI74" s="901"/>
      <c r="AJ74" s="901"/>
      <c r="AK74" s="901"/>
      <c r="AL74" s="235"/>
      <c r="AM74" s="158" t="b">
        <v>0</v>
      </c>
      <c r="AN74" s="799" t="s">
        <v>2311</v>
      </c>
      <c r="AO74" s="799"/>
      <c r="AP74" s="799"/>
      <c r="AQ74" s="254"/>
      <c r="AR74" s="254"/>
      <c r="AS74" s="254"/>
      <c r="AT74" s="254"/>
      <c r="AU74" s="254"/>
      <c r="AV74" s="254"/>
      <c r="AW74" s="254"/>
      <c r="AX74" s="254"/>
      <c r="AY74" s="254"/>
      <c r="AZ74" s="254"/>
      <c r="BA74" s="254"/>
      <c r="BB74" s="254"/>
      <c r="BC74" s="254"/>
      <c r="BD74" s="254"/>
      <c r="BE74" s="254"/>
      <c r="BF74" s="254"/>
      <c r="BG74" s="254"/>
      <c r="BH74" s="254"/>
      <c r="BI74" s="254"/>
      <c r="BJ74" s="254"/>
      <c r="BK74" s="254"/>
      <c r="BL74" s="254"/>
      <c r="BM74" s="254"/>
    </row>
    <row r="75" spans="1:74" s="253" customFormat="1" ht="21" customHeight="1" thickBot="1">
      <c r="A75" s="195"/>
      <c r="B75" s="195"/>
      <c r="C75" s="1055"/>
      <c r="D75" s="1056"/>
      <c r="E75" s="1057" t="s">
        <v>2344</v>
      </c>
      <c r="F75" s="1057"/>
      <c r="G75" s="1057"/>
      <c r="H75" s="1057"/>
      <c r="I75" s="1057"/>
      <c r="J75" s="1057"/>
      <c r="K75" s="1057"/>
      <c r="L75" s="1057"/>
      <c r="M75" s="1057"/>
      <c r="N75" s="1057"/>
      <c r="O75" s="1057"/>
      <c r="P75" s="1057"/>
      <c r="Q75" s="1057"/>
      <c r="R75" s="1057"/>
      <c r="S75" s="1057"/>
      <c r="T75" s="1057"/>
      <c r="U75" s="1057"/>
      <c r="V75" s="1057"/>
      <c r="W75" s="1057"/>
      <c r="X75" s="1058"/>
      <c r="Y75" s="162" t="s">
        <v>166</v>
      </c>
      <c r="Z75" s="188" t="str">
        <f>IF('別紙様式2-2（４・５月分）'!AV8="継続ベア加算なし","",IF(AM74=TRUE,"○","×"))</f>
        <v/>
      </c>
      <c r="AA75" s="255"/>
      <c r="AB75" s="255"/>
      <c r="AC75" s="255"/>
      <c r="AD75" s="255"/>
      <c r="AE75" s="255"/>
      <c r="AF75" s="255"/>
      <c r="AG75" s="255"/>
      <c r="AH75" s="255"/>
      <c r="AI75" s="255"/>
      <c r="AJ75" s="255"/>
      <c r="AK75" s="255"/>
      <c r="AL75" s="255"/>
      <c r="AM75" s="781" t="s">
        <v>2247</v>
      </c>
      <c r="AN75" s="790"/>
      <c r="AO75" s="790"/>
      <c r="AP75" s="790"/>
      <c r="AQ75" s="790"/>
      <c r="AR75" s="790"/>
      <c r="AS75" s="790"/>
      <c r="AT75" s="790"/>
      <c r="AU75" s="790"/>
      <c r="AV75" s="790"/>
      <c r="AW75" s="790"/>
      <c r="AX75" s="790"/>
      <c r="AY75" s="791"/>
      <c r="AZ75" s="254"/>
      <c r="BA75" s="254"/>
      <c r="BB75" s="254"/>
      <c r="BC75" s="254"/>
      <c r="BD75" s="254"/>
      <c r="BE75" s="254"/>
      <c r="BF75" s="254"/>
      <c r="BG75" s="254"/>
      <c r="BH75" s="254"/>
      <c r="BI75" s="254"/>
      <c r="BJ75" s="254"/>
      <c r="BK75" s="254"/>
      <c r="BL75" s="254"/>
      <c r="BM75" s="254"/>
    </row>
    <row r="76" spans="1:74" s="253" customFormat="1" ht="5.25" customHeight="1">
      <c r="A76" s="195"/>
      <c r="B76" s="195"/>
      <c r="C76" s="195"/>
      <c r="D76" s="195"/>
      <c r="E76" s="195"/>
      <c r="F76" s="195"/>
      <c r="G76" s="195"/>
      <c r="H76" s="195"/>
      <c r="I76" s="195"/>
      <c r="J76" s="256"/>
      <c r="K76" s="256"/>
      <c r="L76" s="256"/>
      <c r="M76" s="256"/>
      <c r="N76" s="256"/>
      <c r="O76" s="256"/>
      <c r="P76" s="256"/>
      <c r="Q76" s="256"/>
      <c r="R76" s="256"/>
      <c r="S76" s="256"/>
      <c r="T76" s="256"/>
      <c r="U76" s="256"/>
      <c r="V76" s="256"/>
      <c r="W76" s="256"/>
      <c r="X76" s="256"/>
      <c r="Y76" s="255"/>
      <c r="Z76" s="255"/>
      <c r="AA76" s="255"/>
      <c r="AB76" s="255"/>
      <c r="AC76" s="255"/>
      <c r="AD76" s="255"/>
      <c r="AE76" s="255"/>
      <c r="AF76" s="255"/>
      <c r="AG76" s="255"/>
      <c r="AH76" s="255"/>
      <c r="AI76" s="255"/>
      <c r="AJ76" s="255"/>
      <c r="AK76" s="255"/>
      <c r="AL76" s="255"/>
      <c r="AN76" s="257"/>
      <c r="AO76" s="257"/>
      <c r="AP76" s="257"/>
      <c r="AQ76" s="257"/>
      <c r="AR76" s="257"/>
      <c r="AS76" s="257"/>
      <c r="AT76" s="257"/>
      <c r="AU76" s="257"/>
      <c r="AV76" s="257"/>
      <c r="AW76" s="257"/>
      <c r="AX76" s="257"/>
      <c r="AY76" s="257"/>
      <c r="AZ76" s="257"/>
      <c r="BA76" s="254"/>
      <c r="BB76" s="254"/>
      <c r="BC76" s="254"/>
      <c r="BD76" s="254"/>
      <c r="BE76" s="254"/>
      <c r="BF76" s="254"/>
      <c r="BG76" s="254"/>
      <c r="BH76" s="254"/>
      <c r="BI76" s="254"/>
      <c r="BJ76" s="254"/>
      <c r="BK76" s="254"/>
      <c r="BL76" s="254"/>
      <c r="BM76" s="254"/>
      <c r="BN76" s="254"/>
      <c r="BO76" s="254"/>
      <c r="BP76" s="254"/>
      <c r="BQ76" s="254"/>
      <c r="BR76" s="254"/>
      <c r="BS76" s="254"/>
      <c r="BT76" s="254"/>
      <c r="BU76" s="254"/>
      <c r="BV76" s="254"/>
    </row>
    <row r="77" spans="1:74" s="253" customFormat="1" ht="14.25">
      <c r="A77" s="195"/>
      <c r="B77" s="195"/>
      <c r="C77" s="233" t="s">
        <v>2345</v>
      </c>
      <c r="D77" s="239"/>
      <c r="E77" s="239"/>
      <c r="F77" s="239"/>
      <c r="G77" s="239"/>
      <c r="H77" s="239"/>
      <c r="I77" s="239"/>
      <c r="J77" s="239"/>
      <c r="K77" s="239"/>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39"/>
      <c r="AL77" s="239"/>
      <c r="AN77" s="257"/>
      <c r="AO77" s="257"/>
      <c r="AP77" s="257"/>
      <c r="AQ77" s="257"/>
      <c r="AR77" s="257"/>
      <c r="AS77" s="257"/>
      <c r="AT77" s="257"/>
      <c r="AU77" s="257"/>
      <c r="AV77" s="257"/>
      <c r="AW77" s="257"/>
      <c r="AX77" s="257"/>
      <c r="AY77" s="257"/>
      <c r="AZ77" s="257"/>
      <c r="BA77" s="254"/>
      <c r="BB77" s="254"/>
      <c r="BC77" s="254"/>
      <c r="BD77" s="254"/>
      <c r="BE77" s="254"/>
      <c r="BF77" s="254"/>
      <c r="BG77" s="254"/>
      <c r="BH77" s="254"/>
      <c r="BI77" s="254"/>
      <c r="BJ77" s="254"/>
      <c r="BK77" s="254"/>
      <c r="BL77" s="254"/>
      <c r="BM77" s="254"/>
      <c r="BN77" s="254"/>
      <c r="BO77" s="254"/>
      <c r="BP77" s="254"/>
      <c r="BQ77" s="254"/>
      <c r="BR77" s="254"/>
      <c r="BS77" s="254"/>
      <c r="BT77" s="254"/>
      <c r="BU77" s="254"/>
      <c r="BV77" s="254"/>
    </row>
    <row r="78" spans="1:74" s="253" customFormat="1" ht="24.75" customHeight="1" thickBot="1">
      <c r="A78" s="195"/>
      <c r="B78" s="195"/>
      <c r="C78" s="258" t="s">
        <v>249</v>
      </c>
      <c r="D78" s="875" t="s">
        <v>2343</v>
      </c>
      <c r="E78" s="875"/>
      <c r="F78" s="875"/>
      <c r="G78" s="875"/>
      <c r="H78" s="875"/>
      <c r="I78" s="875"/>
      <c r="J78" s="875"/>
      <c r="K78" s="875"/>
      <c r="L78" s="875"/>
      <c r="M78" s="875"/>
      <c r="N78" s="875"/>
      <c r="O78" s="875"/>
      <c r="P78" s="875"/>
      <c r="Q78" s="875"/>
      <c r="R78" s="875"/>
      <c r="S78" s="875"/>
      <c r="T78" s="875"/>
      <c r="U78" s="875"/>
      <c r="V78" s="875"/>
      <c r="W78" s="875"/>
      <c r="X78" s="875"/>
      <c r="Y78" s="875"/>
      <c r="Z78" s="875"/>
      <c r="AA78" s="875"/>
      <c r="AB78" s="875"/>
      <c r="AC78" s="875"/>
      <c r="AD78" s="875"/>
      <c r="AE78" s="875"/>
      <c r="AF78" s="875"/>
      <c r="AG78" s="875"/>
      <c r="AH78" s="875"/>
      <c r="AI78" s="875"/>
      <c r="AJ78" s="875"/>
      <c r="AK78" s="875"/>
      <c r="AL78" s="235"/>
      <c r="AN78" s="257"/>
      <c r="AO78" s="257"/>
      <c r="AP78" s="257"/>
      <c r="AQ78" s="257"/>
      <c r="AR78" s="257"/>
      <c r="AS78" s="257"/>
      <c r="AT78" s="257"/>
      <c r="AU78" s="257"/>
      <c r="AV78" s="257"/>
      <c r="AW78" s="257"/>
      <c r="AX78" s="257"/>
      <c r="AY78" s="257"/>
      <c r="AZ78" s="257"/>
      <c r="BA78" s="254"/>
      <c r="BB78" s="254"/>
      <c r="BC78" s="254"/>
      <c r="BD78" s="254"/>
      <c r="BE78" s="254"/>
      <c r="BF78" s="254"/>
      <c r="BG78" s="254"/>
      <c r="BH78" s="254"/>
      <c r="BI78" s="254"/>
      <c r="BJ78" s="254"/>
      <c r="BK78" s="254"/>
      <c r="BL78" s="254"/>
      <c r="BM78" s="254"/>
      <c r="BN78" s="254"/>
      <c r="BO78" s="254"/>
      <c r="BP78" s="254"/>
      <c r="BQ78" s="254"/>
      <c r="BR78" s="254"/>
      <c r="BS78" s="254"/>
      <c r="BT78" s="254"/>
      <c r="BU78" s="254"/>
      <c r="BV78" s="254"/>
    </row>
    <row r="79" spans="1:74" ht="18" customHeight="1">
      <c r="A79" s="160"/>
      <c r="B79" s="259"/>
      <c r="C79" s="785" t="s">
        <v>2170</v>
      </c>
      <c r="D79" s="816"/>
      <c r="E79" s="816"/>
      <c r="F79" s="816"/>
      <c r="G79" s="816"/>
      <c r="H79" s="816"/>
      <c r="I79" s="816"/>
      <c r="J79" s="816"/>
      <c r="K79" s="816"/>
      <c r="L79" s="816"/>
      <c r="M79" s="816"/>
      <c r="N79" s="816"/>
      <c r="O79" s="816"/>
      <c r="P79" s="816"/>
      <c r="Q79" s="816"/>
      <c r="R79" s="816"/>
      <c r="S79" s="816"/>
      <c r="T79" s="817"/>
      <c r="U79" s="963">
        <f>'別紙様式2-2（４・５月分）'!K8</f>
        <v>0</v>
      </c>
      <c r="V79" s="964"/>
      <c r="W79" s="964"/>
      <c r="X79" s="964"/>
      <c r="Y79" s="964"/>
      <c r="Z79" s="260" t="s">
        <v>1</v>
      </c>
      <c r="AA79" s="179" t="s">
        <v>166</v>
      </c>
      <c r="AB79" s="838" t="str">
        <f>IF('別紙様式2-2（４・５月分）'!AV7="新規ベア加算なし","",IF(U80&gt;=U79,"○","×"))</f>
        <v/>
      </c>
      <c r="AC79" s="239"/>
      <c r="AD79" s="160"/>
      <c r="AE79" s="160"/>
      <c r="AF79" s="160"/>
      <c r="AG79" s="160"/>
      <c r="AH79" s="160"/>
      <c r="AI79" s="160"/>
      <c r="AJ79" s="160"/>
      <c r="AK79" s="160"/>
      <c r="AL79" s="160"/>
      <c r="AN79" s="257"/>
      <c r="AO79" s="257"/>
      <c r="AP79" s="257"/>
      <c r="AQ79" s="257"/>
      <c r="AR79" s="257"/>
      <c r="AS79" s="257"/>
      <c r="AT79" s="257"/>
      <c r="AU79" s="257"/>
      <c r="AV79" s="257"/>
      <c r="AW79" s="257"/>
      <c r="AX79" s="257"/>
      <c r="AY79" s="257"/>
      <c r="AZ79" s="257"/>
    </row>
    <row r="80" spans="1:74" ht="19.5" customHeight="1" thickBot="1">
      <c r="A80" s="160"/>
      <c r="B80" s="259"/>
      <c r="C80" s="1182" t="s">
        <v>2142</v>
      </c>
      <c r="D80" s="1182"/>
      <c r="E80" s="1182"/>
      <c r="F80" s="1182"/>
      <c r="G80" s="1182"/>
      <c r="H80" s="1182"/>
      <c r="I80" s="1182"/>
      <c r="J80" s="1182"/>
      <c r="K80" s="1182"/>
      <c r="L80" s="1182"/>
      <c r="M80" s="1182"/>
      <c r="N80" s="1182"/>
      <c r="O80" s="1182"/>
      <c r="P80" s="1182"/>
      <c r="Q80" s="1182"/>
      <c r="R80" s="1182"/>
      <c r="S80" s="1182"/>
      <c r="T80" s="1183"/>
      <c r="U80" s="963">
        <f>U81+U86</f>
        <v>0</v>
      </c>
      <c r="V80" s="964"/>
      <c r="W80" s="964"/>
      <c r="X80" s="964"/>
      <c r="Y80" s="964"/>
      <c r="Z80" s="237" t="s">
        <v>1</v>
      </c>
      <c r="AA80" s="179" t="s">
        <v>238</v>
      </c>
      <c r="AB80" s="839"/>
      <c r="AC80" s="179"/>
      <c r="AD80" s="179"/>
      <c r="AE80" s="179"/>
      <c r="AF80" s="179"/>
      <c r="AG80" s="179"/>
      <c r="AH80" s="226"/>
      <c r="AI80" s="226"/>
      <c r="AJ80" s="226"/>
      <c r="AK80" s="226"/>
      <c r="AL80" s="226"/>
      <c r="AM80" s="261"/>
    </row>
    <row r="81" spans="1:51" ht="9.75" customHeight="1" thickBot="1">
      <c r="A81" s="160"/>
      <c r="B81" s="259"/>
      <c r="C81" s="965" t="s">
        <v>165</v>
      </c>
      <c r="D81" s="966"/>
      <c r="E81" s="892" t="s">
        <v>2143</v>
      </c>
      <c r="F81" s="893"/>
      <c r="G81" s="893"/>
      <c r="H81" s="893"/>
      <c r="I81" s="893"/>
      <c r="J81" s="893"/>
      <c r="K81" s="893"/>
      <c r="L81" s="893"/>
      <c r="M81" s="893"/>
      <c r="N81" s="893"/>
      <c r="O81" s="893"/>
      <c r="P81" s="893"/>
      <c r="Q81" s="893"/>
      <c r="R81" s="893"/>
      <c r="S81" s="893"/>
      <c r="T81" s="894"/>
      <c r="U81" s="904"/>
      <c r="V81" s="905"/>
      <c r="W81" s="905"/>
      <c r="X81" s="905"/>
      <c r="Y81" s="906"/>
      <c r="Z81" s="913" t="s">
        <v>1</v>
      </c>
      <c r="AA81" s="961" t="s">
        <v>166</v>
      </c>
      <c r="AB81" s="160"/>
      <c r="AC81" s="243"/>
      <c r="AD81" s="262"/>
      <c r="AE81" s="262"/>
      <c r="AF81" s="243"/>
      <c r="AG81" s="160"/>
      <c r="AH81" s="226"/>
      <c r="AI81" s="160"/>
      <c r="AJ81" s="226"/>
      <c r="AK81" s="160"/>
      <c r="AL81" s="226"/>
      <c r="AM81" s="261"/>
    </row>
    <row r="82" spans="1:51" ht="9.75" customHeight="1" thickBot="1">
      <c r="A82" s="160"/>
      <c r="B82" s="259"/>
      <c r="C82" s="965"/>
      <c r="D82" s="966"/>
      <c r="E82" s="895"/>
      <c r="F82" s="896"/>
      <c r="G82" s="896"/>
      <c r="H82" s="896"/>
      <c r="I82" s="896"/>
      <c r="J82" s="896"/>
      <c r="K82" s="896"/>
      <c r="L82" s="896"/>
      <c r="M82" s="896"/>
      <c r="N82" s="896"/>
      <c r="O82" s="896"/>
      <c r="P82" s="896"/>
      <c r="Q82" s="896"/>
      <c r="R82" s="896"/>
      <c r="S82" s="896"/>
      <c r="T82" s="897"/>
      <c r="U82" s="907"/>
      <c r="V82" s="908"/>
      <c r="W82" s="908"/>
      <c r="X82" s="908"/>
      <c r="Y82" s="909"/>
      <c r="Z82" s="914"/>
      <c r="AA82" s="961"/>
      <c r="AB82" s="856" t="s">
        <v>2299</v>
      </c>
      <c r="AC82" s="859">
        <f>IFERROR(U83/U81*100,0)</f>
        <v>0</v>
      </c>
      <c r="AD82" s="860"/>
      <c r="AE82" s="861"/>
      <c r="AF82" s="857" t="s">
        <v>138</v>
      </c>
      <c r="AG82" s="857" t="s">
        <v>25</v>
      </c>
      <c r="AH82" s="858" t="s">
        <v>166</v>
      </c>
      <c r="AI82" s="838" t="str">
        <f>IF('別紙様式2-2（４・５月分）'!AV7="新規ベア加算なし","",IF(U81=0,"",IF(AND(AC82&gt;=200/3,AC82&lt;=100),"○","×")))</f>
        <v/>
      </c>
      <c r="AJ82" s="226"/>
      <c r="AK82" s="160"/>
      <c r="AL82" s="226"/>
      <c r="AM82" s="1189" t="s">
        <v>2382</v>
      </c>
      <c r="AN82" s="1190"/>
      <c r="AO82" s="1190"/>
      <c r="AP82" s="1190"/>
      <c r="AQ82" s="1190"/>
      <c r="AR82" s="1190"/>
      <c r="AS82" s="1190"/>
      <c r="AT82" s="1190"/>
      <c r="AU82" s="1190"/>
      <c r="AV82" s="1190"/>
      <c r="AW82" s="1190"/>
      <c r="AX82" s="1190"/>
      <c r="AY82" s="1191"/>
    </row>
    <row r="83" spans="1:51" ht="9.75" customHeight="1" thickBot="1">
      <c r="A83" s="160"/>
      <c r="B83" s="259"/>
      <c r="C83" s="965"/>
      <c r="D83" s="966"/>
      <c r="E83" s="215"/>
      <c r="F83" s="898" t="s">
        <v>2378</v>
      </c>
      <c r="G83" s="899"/>
      <c r="H83" s="899"/>
      <c r="I83" s="899"/>
      <c r="J83" s="899"/>
      <c r="K83" s="899"/>
      <c r="L83" s="899"/>
      <c r="M83" s="899"/>
      <c r="N83" s="899"/>
      <c r="O83" s="899"/>
      <c r="P83" s="899"/>
      <c r="Q83" s="899"/>
      <c r="R83" s="899"/>
      <c r="S83" s="899"/>
      <c r="T83" s="899"/>
      <c r="U83" s="910"/>
      <c r="V83" s="911"/>
      <c r="W83" s="911"/>
      <c r="X83" s="911"/>
      <c r="Y83" s="912"/>
      <c r="Z83" s="915" t="s">
        <v>1</v>
      </c>
      <c r="AA83" s="961" t="s">
        <v>166</v>
      </c>
      <c r="AB83" s="856"/>
      <c r="AC83" s="862"/>
      <c r="AD83" s="863"/>
      <c r="AE83" s="864"/>
      <c r="AF83" s="857"/>
      <c r="AG83" s="857"/>
      <c r="AH83" s="858"/>
      <c r="AI83" s="839"/>
      <c r="AJ83" s="226"/>
      <c r="AK83" s="160"/>
      <c r="AL83" s="226"/>
      <c r="AM83" s="1192"/>
      <c r="AN83" s="1193"/>
      <c r="AO83" s="1193"/>
      <c r="AP83" s="1193"/>
      <c r="AQ83" s="1193"/>
      <c r="AR83" s="1193"/>
      <c r="AS83" s="1193"/>
      <c r="AT83" s="1193"/>
      <c r="AU83" s="1193"/>
      <c r="AV83" s="1193"/>
      <c r="AW83" s="1193"/>
      <c r="AX83" s="1193"/>
      <c r="AY83" s="1194"/>
    </row>
    <row r="84" spans="1:51" ht="9.75" customHeight="1" thickBot="1">
      <c r="A84" s="160"/>
      <c r="B84" s="259"/>
      <c r="C84" s="965"/>
      <c r="D84" s="966"/>
      <c r="E84" s="263"/>
      <c r="F84" s="900"/>
      <c r="G84" s="901"/>
      <c r="H84" s="901"/>
      <c r="I84" s="901"/>
      <c r="J84" s="901"/>
      <c r="K84" s="901"/>
      <c r="L84" s="901"/>
      <c r="M84" s="901"/>
      <c r="N84" s="901"/>
      <c r="O84" s="901"/>
      <c r="P84" s="901"/>
      <c r="Q84" s="901"/>
      <c r="R84" s="901"/>
      <c r="S84" s="901"/>
      <c r="T84" s="901"/>
      <c r="U84" s="907"/>
      <c r="V84" s="908"/>
      <c r="W84" s="908"/>
      <c r="X84" s="908"/>
      <c r="Y84" s="909"/>
      <c r="Z84" s="916"/>
      <c r="AA84" s="961"/>
      <c r="AB84" s="160"/>
      <c r="AC84" s="160"/>
      <c r="AD84" s="160"/>
      <c r="AE84" s="160"/>
      <c r="AF84" s="160"/>
      <c r="AG84" s="160"/>
      <c r="AH84" s="160"/>
      <c r="AI84" s="160"/>
      <c r="AJ84" s="226"/>
      <c r="AK84" s="226"/>
      <c r="AL84" s="226"/>
    </row>
    <row r="85" spans="1:51" ht="15" customHeight="1" thickBot="1">
      <c r="A85" s="160"/>
      <c r="B85" s="259"/>
      <c r="C85" s="967"/>
      <c r="D85" s="968"/>
      <c r="E85" s="264"/>
      <c r="F85" s="902"/>
      <c r="G85" s="903"/>
      <c r="H85" s="903"/>
      <c r="I85" s="903"/>
      <c r="J85" s="903"/>
      <c r="K85" s="903"/>
      <c r="L85" s="903"/>
      <c r="M85" s="903"/>
      <c r="N85" s="903"/>
      <c r="O85" s="903"/>
      <c r="P85" s="903"/>
      <c r="Q85" s="903"/>
      <c r="R85" s="903"/>
      <c r="S85" s="903"/>
      <c r="T85" s="903"/>
      <c r="U85" s="265" t="s">
        <v>24</v>
      </c>
      <c r="V85" s="969">
        <f>U83/2</f>
        <v>0</v>
      </c>
      <c r="W85" s="969"/>
      <c r="X85" s="969"/>
      <c r="Y85" s="137" t="s">
        <v>1</v>
      </c>
      <c r="Z85" s="78" t="s">
        <v>25</v>
      </c>
      <c r="AA85" s="138"/>
      <c r="AB85" s="247"/>
      <c r="AC85" s="247"/>
      <c r="AD85" s="248"/>
      <c r="AE85" s="1195"/>
      <c r="AF85" s="1195"/>
      <c r="AG85" s="243"/>
      <c r="AH85" s="160"/>
      <c r="AI85" s="252"/>
      <c r="AJ85" s="226"/>
      <c r="AK85" s="226"/>
      <c r="AL85" s="226"/>
      <c r="AM85" s="261"/>
    </row>
    <row r="86" spans="1:51" ht="9.75" customHeight="1" thickBot="1">
      <c r="A86" s="160"/>
      <c r="B86" s="259"/>
      <c r="C86" s="1131" t="s">
        <v>237</v>
      </c>
      <c r="D86" s="1132"/>
      <c r="E86" s="892" t="s">
        <v>2144</v>
      </c>
      <c r="F86" s="893"/>
      <c r="G86" s="893"/>
      <c r="H86" s="893"/>
      <c r="I86" s="893"/>
      <c r="J86" s="893"/>
      <c r="K86" s="893"/>
      <c r="L86" s="893"/>
      <c r="M86" s="893"/>
      <c r="N86" s="893"/>
      <c r="O86" s="893"/>
      <c r="P86" s="893"/>
      <c r="Q86" s="893"/>
      <c r="R86" s="893"/>
      <c r="S86" s="893"/>
      <c r="T86" s="894"/>
      <c r="U86" s="904"/>
      <c r="V86" s="905"/>
      <c r="W86" s="905"/>
      <c r="X86" s="905"/>
      <c r="Y86" s="906"/>
      <c r="Z86" s="984" t="s">
        <v>1</v>
      </c>
      <c r="AA86" s="961" t="s">
        <v>166</v>
      </c>
      <c r="AB86" s="247"/>
      <c r="AC86" s="160"/>
      <c r="AD86" s="243"/>
      <c r="AE86" s="262"/>
      <c r="AF86" s="262"/>
      <c r="AG86" s="243"/>
      <c r="AH86" s="160"/>
      <c r="AI86" s="160"/>
      <c r="AJ86" s="226"/>
      <c r="AK86" s="226"/>
      <c r="AL86" s="226"/>
      <c r="AM86" s="261"/>
    </row>
    <row r="87" spans="1:51" ht="9.75" customHeight="1" thickBot="1">
      <c r="A87" s="160"/>
      <c r="B87" s="259"/>
      <c r="C87" s="1133"/>
      <c r="D87" s="966"/>
      <c r="E87" s="895"/>
      <c r="F87" s="896"/>
      <c r="G87" s="896"/>
      <c r="H87" s="896"/>
      <c r="I87" s="896"/>
      <c r="J87" s="896"/>
      <c r="K87" s="896"/>
      <c r="L87" s="896"/>
      <c r="M87" s="896"/>
      <c r="N87" s="896"/>
      <c r="O87" s="896"/>
      <c r="P87" s="896"/>
      <c r="Q87" s="896"/>
      <c r="R87" s="896"/>
      <c r="S87" s="896"/>
      <c r="T87" s="897"/>
      <c r="U87" s="907"/>
      <c r="V87" s="908"/>
      <c r="W87" s="908"/>
      <c r="X87" s="908"/>
      <c r="Y87" s="909"/>
      <c r="Z87" s="985"/>
      <c r="AA87" s="961"/>
      <c r="AB87" s="856" t="s">
        <v>2299</v>
      </c>
      <c r="AC87" s="859">
        <f>IFERROR(U88/U86*100,0)</f>
        <v>0</v>
      </c>
      <c r="AD87" s="860"/>
      <c r="AE87" s="861"/>
      <c r="AF87" s="857" t="s">
        <v>138</v>
      </c>
      <c r="AG87" s="857" t="s">
        <v>25</v>
      </c>
      <c r="AH87" s="858" t="s">
        <v>166</v>
      </c>
      <c r="AI87" s="838" t="str">
        <f>IF('別紙様式2-2（４・５月分）'!AV7="新規ベア加算なし","",IF(U86=0,"",IF(AND(AC87&gt;=200/3,AC87&lt;=100),"○","×")))</f>
        <v/>
      </c>
      <c r="AJ87" s="226"/>
      <c r="AK87" s="226"/>
      <c r="AL87" s="226"/>
      <c r="AM87" s="1189" t="s">
        <v>2383</v>
      </c>
      <c r="AN87" s="1190"/>
      <c r="AO87" s="1190"/>
      <c r="AP87" s="1190"/>
      <c r="AQ87" s="1190"/>
      <c r="AR87" s="1190"/>
      <c r="AS87" s="1190"/>
      <c r="AT87" s="1190"/>
      <c r="AU87" s="1190"/>
      <c r="AV87" s="1190"/>
      <c r="AW87" s="1190"/>
      <c r="AX87" s="1190"/>
      <c r="AY87" s="1191"/>
    </row>
    <row r="88" spans="1:51" ht="9.75" customHeight="1" thickBot="1">
      <c r="A88" s="160"/>
      <c r="B88" s="259"/>
      <c r="C88" s="1133"/>
      <c r="D88" s="966"/>
      <c r="E88" s="266"/>
      <c r="F88" s="898" t="s">
        <v>2379</v>
      </c>
      <c r="G88" s="899"/>
      <c r="H88" s="899"/>
      <c r="I88" s="899"/>
      <c r="J88" s="899"/>
      <c r="K88" s="899"/>
      <c r="L88" s="899"/>
      <c r="M88" s="899"/>
      <c r="N88" s="899"/>
      <c r="O88" s="899"/>
      <c r="P88" s="899"/>
      <c r="Q88" s="899"/>
      <c r="R88" s="899"/>
      <c r="S88" s="899"/>
      <c r="T88" s="899"/>
      <c r="U88" s="910"/>
      <c r="V88" s="911"/>
      <c r="W88" s="911"/>
      <c r="X88" s="911"/>
      <c r="Y88" s="912"/>
      <c r="Z88" s="1210" t="s">
        <v>1</v>
      </c>
      <c r="AA88" s="961" t="s">
        <v>166</v>
      </c>
      <c r="AB88" s="856"/>
      <c r="AC88" s="862"/>
      <c r="AD88" s="863"/>
      <c r="AE88" s="864"/>
      <c r="AF88" s="857"/>
      <c r="AG88" s="857"/>
      <c r="AH88" s="858"/>
      <c r="AI88" s="839"/>
      <c r="AJ88" s="226"/>
      <c r="AK88" s="226"/>
      <c r="AL88" s="226"/>
      <c r="AM88" s="1192"/>
      <c r="AN88" s="1193"/>
      <c r="AO88" s="1193"/>
      <c r="AP88" s="1193"/>
      <c r="AQ88" s="1193"/>
      <c r="AR88" s="1193"/>
      <c r="AS88" s="1193"/>
      <c r="AT88" s="1193"/>
      <c r="AU88" s="1193"/>
      <c r="AV88" s="1193"/>
      <c r="AW88" s="1193"/>
      <c r="AX88" s="1193"/>
      <c r="AY88" s="1194"/>
    </row>
    <row r="89" spans="1:51" ht="9.75" customHeight="1" thickBot="1">
      <c r="A89" s="160"/>
      <c r="B89" s="259"/>
      <c r="C89" s="965"/>
      <c r="D89" s="966"/>
      <c r="E89" s="267"/>
      <c r="F89" s="900"/>
      <c r="G89" s="901"/>
      <c r="H89" s="901"/>
      <c r="I89" s="901"/>
      <c r="J89" s="901"/>
      <c r="K89" s="901"/>
      <c r="L89" s="901"/>
      <c r="M89" s="901"/>
      <c r="N89" s="901"/>
      <c r="O89" s="901"/>
      <c r="P89" s="901"/>
      <c r="Q89" s="901"/>
      <c r="R89" s="901"/>
      <c r="S89" s="901"/>
      <c r="T89" s="901"/>
      <c r="U89" s="907"/>
      <c r="V89" s="908"/>
      <c r="W89" s="908"/>
      <c r="X89" s="908"/>
      <c r="Y89" s="909"/>
      <c r="Z89" s="1211"/>
      <c r="AA89" s="961"/>
      <c r="AB89" s="160"/>
      <c r="AC89" s="160"/>
      <c r="AD89" s="160"/>
      <c r="AE89" s="160"/>
      <c r="AF89" s="160"/>
      <c r="AG89" s="160"/>
      <c r="AH89" s="160"/>
      <c r="AI89" s="160"/>
      <c r="AJ89" s="226"/>
      <c r="AK89" s="226"/>
      <c r="AL89" s="226"/>
    </row>
    <row r="90" spans="1:51" ht="16.5" customHeight="1">
      <c r="A90" s="160"/>
      <c r="B90" s="259"/>
      <c r="C90" s="967"/>
      <c r="D90" s="968"/>
      <c r="E90" s="268"/>
      <c r="F90" s="902"/>
      <c r="G90" s="903"/>
      <c r="H90" s="903"/>
      <c r="I90" s="903"/>
      <c r="J90" s="903"/>
      <c r="K90" s="903"/>
      <c r="L90" s="903"/>
      <c r="M90" s="903"/>
      <c r="N90" s="903"/>
      <c r="O90" s="903"/>
      <c r="P90" s="903"/>
      <c r="Q90" s="903"/>
      <c r="R90" s="903"/>
      <c r="S90" s="903"/>
      <c r="T90" s="903"/>
      <c r="U90" s="251" t="s">
        <v>24</v>
      </c>
      <c r="V90" s="877">
        <f>U88/2</f>
        <v>0</v>
      </c>
      <c r="W90" s="877"/>
      <c r="X90" s="877"/>
      <c r="Y90" s="136" t="s">
        <v>1</v>
      </c>
      <c r="Z90" s="23" t="s">
        <v>25</v>
      </c>
      <c r="AA90" s="138"/>
      <c r="AB90" s="247"/>
      <c r="AC90" s="248"/>
      <c r="AD90" s="1195"/>
      <c r="AE90" s="1195"/>
      <c r="AF90" s="243"/>
      <c r="AG90" s="160"/>
      <c r="AH90" s="160"/>
      <c r="AI90" s="269"/>
      <c r="AJ90" s="226"/>
      <c r="AK90" s="226"/>
      <c r="AL90" s="226"/>
      <c r="AM90" s="261"/>
    </row>
    <row r="91" spans="1:51" ht="6.75" customHeight="1">
      <c r="A91" s="160"/>
      <c r="B91" s="229" t="s">
        <v>236</v>
      </c>
      <c r="C91" s="229"/>
      <c r="D91" s="229"/>
      <c r="E91" s="229"/>
      <c r="F91" s="226"/>
      <c r="G91" s="227"/>
      <c r="H91" s="227"/>
      <c r="I91" s="227"/>
      <c r="J91" s="227"/>
      <c r="K91" s="227"/>
      <c r="L91" s="227"/>
      <c r="M91" s="270"/>
      <c r="N91" s="227"/>
      <c r="O91" s="227"/>
      <c r="P91" s="227"/>
      <c r="Q91" s="227"/>
      <c r="R91" s="227"/>
      <c r="S91" s="227"/>
      <c r="T91" s="227"/>
      <c r="U91" s="227"/>
      <c r="V91" s="227"/>
      <c r="W91" s="227"/>
      <c r="X91" s="227"/>
      <c r="Y91" s="227"/>
      <c r="Z91" s="227"/>
      <c r="AA91" s="227"/>
      <c r="AB91" s="227"/>
      <c r="AC91" s="227"/>
      <c r="AD91" s="227"/>
      <c r="AE91" s="227"/>
      <c r="AF91" s="227"/>
      <c r="AG91" s="227"/>
      <c r="AH91" s="227"/>
      <c r="AI91" s="227"/>
      <c r="AJ91" s="227"/>
      <c r="AK91" s="227"/>
      <c r="AL91" s="170"/>
      <c r="AM91" s="171"/>
      <c r="AR91" s="198"/>
    </row>
    <row r="92" spans="1:51" s="273" customFormat="1" ht="21" customHeight="1" thickBot="1">
      <c r="A92" s="271"/>
      <c r="B92" s="1125" t="s">
        <v>250</v>
      </c>
      <c r="C92" s="1125"/>
      <c r="D92" s="1125"/>
      <c r="E92" s="1125"/>
      <c r="F92" s="1125"/>
      <c r="G92" s="1125"/>
      <c r="H92" s="1125"/>
      <c r="I92" s="1125"/>
      <c r="J92" s="1125"/>
      <c r="K92" s="1125"/>
      <c r="L92" s="1125"/>
      <c r="M92" s="1125"/>
      <c r="N92" s="1125"/>
      <c r="O92" s="1125"/>
      <c r="P92" s="1125"/>
      <c r="Q92" s="1125"/>
      <c r="R92" s="1125"/>
      <c r="S92" s="1125"/>
      <c r="T92" s="1125"/>
      <c r="U92" s="1125"/>
      <c r="V92" s="1125"/>
      <c r="W92" s="1125"/>
      <c r="X92" s="1125"/>
      <c r="Y92" s="1125"/>
      <c r="Z92" s="1125"/>
      <c r="AA92" s="1125"/>
      <c r="AB92" s="1125"/>
      <c r="AC92" s="1125"/>
      <c r="AD92" s="1125"/>
      <c r="AE92" s="1125"/>
      <c r="AF92" s="1125"/>
      <c r="AG92" s="1125"/>
      <c r="AH92" s="1125"/>
      <c r="AI92" s="1125"/>
      <c r="AJ92" s="1125"/>
      <c r="AK92" s="1125"/>
      <c r="AL92" s="271"/>
      <c r="AM92" s="272"/>
    </row>
    <row r="93" spans="1:51" s="171" customFormat="1" ht="14.25" thickBot="1">
      <c r="A93" s="170"/>
      <c r="B93" s="233" t="s">
        <v>251</v>
      </c>
      <c r="C93" s="212"/>
      <c r="D93" s="212"/>
      <c r="E93" s="212"/>
      <c r="F93" s="212"/>
      <c r="G93" s="212"/>
      <c r="H93" s="212"/>
      <c r="I93" s="212"/>
      <c r="J93" s="212"/>
      <c r="K93" s="212"/>
      <c r="L93" s="212"/>
      <c r="M93" s="212"/>
      <c r="N93" s="212"/>
      <c r="O93" s="212"/>
      <c r="P93" s="212"/>
      <c r="Q93" s="212"/>
      <c r="R93" s="274" t="s">
        <v>249</v>
      </c>
      <c r="S93" s="275" t="s">
        <v>2150</v>
      </c>
      <c r="T93" s="170"/>
      <c r="U93" s="212"/>
      <c r="V93" s="212"/>
      <c r="W93" s="212"/>
      <c r="X93" s="212"/>
      <c r="Y93" s="212"/>
      <c r="Z93" s="212"/>
      <c r="AA93" s="212"/>
      <c r="AB93" s="212"/>
      <c r="AC93" s="212"/>
      <c r="AD93" s="212"/>
      <c r="AE93" s="212"/>
      <c r="AF93" s="212"/>
      <c r="AG93" s="212"/>
      <c r="AH93" s="212"/>
      <c r="AI93" s="1147" t="str">
        <f>IF(OR('別紙様式2-2（４・５月分）'!AR8="処遇加算Ⅰ・Ⅱあり",'別紙様式2-3（６月以降分）'!BC6="旧処遇加算Ⅰ・Ⅱ相当あり"),"該当","")</f>
        <v/>
      </c>
      <c r="AJ93" s="1148"/>
      <c r="AK93" s="1149"/>
      <c r="AL93" s="170"/>
      <c r="AM93" s="163"/>
    </row>
    <row r="94" spans="1:51" s="171" customFormat="1" ht="2.25" customHeight="1" thickBot="1">
      <c r="A94" s="170"/>
      <c r="B94" s="170"/>
      <c r="C94" s="170"/>
      <c r="D94" s="276"/>
      <c r="E94" s="276"/>
      <c r="F94" s="276"/>
      <c r="G94" s="276"/>
      <c r="H94" s="276"/>
      <c r="I94" s="276"/>
      <c r="J94" s="276"/>
      <c r="K94" s="276"/>
      <c r="L94" s="276"/>
      <c r="M94" s="276"/>
      <c r="N94" s="276"/>
      <c r="O94" s="276"/>
      <c r="P94" s="276"/>
      <c r="Q94" s="276"/>
      <c r="R94" s="277"/>
      <c r="S94" s="277"/>
      <c r="T94" s="277"/>
      <c r="U94" s="276"/>
      <c r="V94" s="276"/>
      <c r="W94" s="276"/>
      <c r="X94" s="276"/>
      <c r="Y94" s="276"/>
      <c r="Z94" s="276"/>
      <c r="AA94" s="276"/>
      <c r="AB94" s="276"/>
      <c r="AC94" s="276"/>
      <c r="AD94" s="276"/>
      <c r="AE94" s="276"/>
      <c r="AF94" s="276"/>
      <c r="AG94" s="276"/>
      <c r="AH94" s="276"/>
      <c r="AI94" s="276"/>
      <c r="AJ94" s="276"/>
      <c r="AK94" s="276"/>
      <c r="AL94" s="170"/>
      <c r="AM94" s="163"/>
    </row>
    <row r="95" spans="1:51" s="171" customFormat="1" ht="14.25" thickBot="1">
      <c r="A95" s="170"/>
      <c r="B95" s="233" t="s">
        <v>2125</v>
      </c>
      <c r="C95" s="278"/>
      <c r="D95" s="278"/>
      <c r="E95" s="278"/>
      <c r="F95" s="278"/>
      <c r="G95" s="278"/>
      <c r="H95" s="278"/>
      <c r="I95" s="278"/>
      <c r="J95" s="278"/>
      <c r="K95" s="278"/>
      <c r="L95" s="278"/>
      <c r="M95" s="278"/>
      <c r="N95" s="278"/>
      <c r="O95" s="278"/>
      <c r="P95" s="278"/>
      <c r="Q95" s="278"/>
      <c r="R95" s="274" t="s">
        <v>249</v>
      </c>
      <c r="S95" s="275" t="s">
        <v>2151</v>
      </c>
      <c r="T95" s="170"/>
      <c r="U95" s="278"/>
      <c r="V95" s="278"/>
      <c r="W95" s="278"/>
      <c r="X95" s="278"/>
      <c r="Y95" s="278"/>
      <c r="Z95" s="278"/>
      <c r="AA95" s="278"/>
      <c r="AB95" s="278"/>
      <c r="AC95" s="278"/>
      <c r="AD95" s="278"/>
      <c r="AE95" s="278"/>
      <c r="AF95" s="278"/>
      <c r="AG95" s="278"/>
      <c r="AH95" s="278"/>
      <c r="AI95" s="1147" t="str">
        <f>IF(AND('別紙様式2-2（４・５月分）'!AR8="処遇加算Ⅰ・Ⅱなし",'別紙様式2-3（６月以降分）'!BC6="旧処遇加算Ⅰ・Ⅱ相当なし"),"該当","")</f>
        <v>該当</v>
      </c>
      <c r="AJ95" s="1148"/>
      <c r="AK95" s="1149"/>
      <c r="AL95" s="170"/>
      <c r="AM95" s="163"/>
    </row>
    <row r="96" spans="1:51" s="171" customFormat="1" ht="5.25" customHeight="1">
      <c r="A96" s="170"/>
      <c r="B96" s="258"/>
      <c r="C96" s="279"/>
      <c r="D96" s="279"/>
      <c r="E96" s="279"/>
      <c r="F96" s="279"/>
      <c r="G96" s="279"/>
      <c r="H96" s="279"/>
      <c r="I96" s="279"/>
      <c r="J96" s="279"/>
      <c r="K96" s="279"/>
      <c r="L96" s="279"/>
      <c r="M96" s="279"/>
      <c r="N96" s="279"/>
      <c r="O96" s="279"/>
      <c r="P96" s="279"/>
      <c r="Q96" s="279"/>
      <c r="R96" s="279"/>
      <c r="S96" s="279"/>
      <c r="T96" s="279"/>
      <c r="U96" s="279"/>
      <c r="V96" s="279"/>
      <c r="W96" s="279"/>
      <c r="X96" s="279"/>
      <c r="Y96" s="279"/>
      <c r="Z96" s="279"/>
      <c r="AA96" s="170"/>
      <c r="AB96" s="279"/>
      <c r="AC96" s="279"/>
      <c r="AD96" s="279"/>
      <c r="AE96" s="279"/>
      <c r="AF96" s="279"/>
      <c r="AG96" s="279"/>
      <c r="AH96" s="279"/>
      <c r="AI96" s="279"/>
      <c r="AJ96" s="279"/>
      <c r="AK96" s="279"/>
      <c r="AL96" s="170"/>
      <c r="AM96" s="163"/>
    </row>
    <row r="97" spans="1:51" s="253" customFormat="1" ht="12.75" customHeight="1" thickBot="1">
      <c r="A97" s="195"/>
      <c r="B97" s="195"/>
      <c r="C97" s="962" t="s">
        <v>264</v>
      </c>
      <c r="D97" s="962"/>
      <c r="E97" s="962"/>
      <c r="F97" s="962"/>
      <c r="G97" s="962"/>
      <c r="H97" s="962"/>
      <c r="I97" s="962"/>
      <c r="J97" s="962"/>
      <c r="K97" s="962"/>
      <c r="L97" s="962"/>
      <c r="M97" s="962"/>
      <c r="N97" s="962"/>
      <c r="O97" s="962"/>
      <c r="P97" s="962"/>
      <c r="Q97" s="962"/>
      <c r="R97" s="962"/>
      <c r="S97" s="962"/>
      <c r="T97" s="962"/>
      <c r="U97" s="195"/>
      <c r="V97" s="195"/>
      <c r="W97" s="195"/>
      <c r="X97" s="195"/>
      <c r="Y97" s="195"/>
      <c r="Z97" s="195"/>
      <c r="AA97" s="195"/>
      <c r="AB97" s="195"/>
      <c r="AC97" s="195"/>
      <c r="AD97" s="236"/>
      <c r="AE97" s="236"/>
      <c r="AF97" s="236"/>
      <c r="AG97" s="236"/>
      <c r="AH97" s="236"/>
      <c r="AI97" s="236"/>
      <c r="AJ97" s="236"/>
      <c r="AK97" s="236"/>
      <c r="AL97" s="195"/>
      <c r="AM97" s="280"/>
    </row>
    <row r="98" spans="1:51" s="171" customFormat="1" ht="18" customHeight="1" thickBot="1">
      <c r="A98" s="170"/>
      <c r="B98" s="170"/>
      <c r="C98" s="921"/>
      <c r="D98" s="922"/>
      <c r="E98" s="974" t="s">
        <v>252</v>
      </c>
      <c r="F98" s="974"/>
      <c r="G98" s="974"/>
      <c r="H98" s="974"/>
      <c r="I98" s="974"/>
      <c r="J98" s="974"/>
      <c r="K98" s="974"/>
      <c r="L98" s="974"/>
      <c r="M98" s="974"/>
      <c r="N98" s="974"/>
      <c r="O98" s="974"/>
      <c r="P98" s="974"/>
      <c r="Q98" s="974"/>
      <c r="R98" s="975"/>
      <c r="S98" s="281" t="s">
        <v>238</v>
      </c>
      <c r="T98" s="240" t="str">
        <f>IFERROR(IF(AM99=TRUE,"○",IF(AND(AI95="該当",OR(AM107=TRUE,AM108=TRUE)),"","×")),"")</f>
        <v>×</v>
      </c>
      <c r="U98" s="170"/>
      <c r="V98" s="282"/>
      <c r="W98" s="282"/>
      <c r="X98" s="282"/>
      <c r="Y98" s="282"/>
      <c r="Z98" s="282"/>
      <c r="AA98" s="282"/>
      <c r="AB98" s="282"/>
      <c r="AC98" s="282"/>
      <c r="AD98" s="282"/>
      <c r="AE98" s="282"/>
      <c r="AF98" s="282"/>
      <c r="AG98" s="282"/>
      <c r="AH98" s="282"/>
      <c r="AI98" s="282"/>
      <c r="AJ98" s="282"/>
      <c r="AK98" s="282"/>
      <c r="AL98" s="195"/>
      <c r="AM98" s="220" t="s">
        <v>2305</v>
      </c>
    </row>
    <row r="99" spans="1:51" s="171" customFormat="1" ht="16.5" customHeight="1">
      <c r="A99" s="170"/>
      <c r="B99" s="283"/>
      <c r="C99" s="284" t="s">
        <v>93</v>
      </c>
      <c r="D99" s="285" t="s">
        <v>2103</v>
      </c>
      <c r="E99" s="215"/>
      <c r="F99" s="215"/>
      <c r="G99" s="215"/>
      <c r="H99" s="215"/>
      <c r="I99" s="215"/>
      <c r="J99" s="215"/>
      <c r="K99" s="215"/>
      <c r="L99" s="215"/>
      <c r="M99" s="215"/>
      <c r="N99" s="215"/>
      <c r="O99" s="215"/>
      <c r="P99" s="215"/>
      <c r="Q99" s="215"/>
      <c r="R99" s="215"/>
      <c r="S99" s="285"/>
      <c r="T99" s="285"/>
      <c r="U99" s="285"/>
      <c r="V99" s="215"/>
      <c r="W99" s="215"/>
      <c r="X99" s="215"/>
      <c r="Y99" s="215"/>
      <c r="Z99" s="286"/>
      <c r="AA99" s="286"/>
      <c r="AB99" s="286"/>
      <c r="AC99" s="286"/>
      <c r="AD99" s="179"/>
      <c r="AE99" s="179"/>
      <c r="AF99" s="179"/>
      <c r="AG99" s="179"/>
      <c r="AH99" s="212"/>
      <c r="AI99" s="212"/>
      <c r="AJ99" s="212"/>
      <c r="AK99" s="287"/>
      <c r="AL99" s="232"/>
      <c r="AM99" s="158" t="b">
        <v>0</v>
      </c>
      <c r="AN99" s="799" t="s">
        <v>2311</v>
      </c>
      <c r="AO99" s="799"/>
      <c r="AP99" s="799"/>
    </row>
    <row r="100" spans="1:51" s="171" customFormat="1" ht="16.5" customHeight="1">
      <c r="A100" s="170"/>
      <c r="B100" s="283"/>
      <c r="C100" s="288" t="s">
        <v>94</v>
      </c>
      <c r="D100" s="289" t="s">
        <v>2104</v>
      </c>
      <c r="E100" s="289"/>
      <c r="F100" s="289"/>
      <c r="G100" s="289"/>
      <c r="H100" s="289"/>
      <c r="I100" s="289"/>
      <c r="J100" s="289"/>
      <c r="K100" s="289"/>
      <c r="L100" s="289"/>
      <c r="M100" s="289"/>
      <c r="N100" s="289"/>
      <c r="O100" s="289"/>
      <c r="P100" s="289"/>
      <c r="Q100" s="289"/>
      <c r="R100" s="289"/>
      <c r="S100" s="289"/>
      <c r="T100" s="289"/>
      <c r="U100" s="289"/>
      <c r="V100" s="289"/>
      <c r="W100" s="289"/>
      <c r="X100" s="289"/>
      <c r="Y100" s="289"/>
      <c r="Z100" s="290"/>
      <c r="AA100" s="290"/>
      <c r="AB100" s="290"/>
      <c r="AC100" s="290"/>
      <c r="AD100" s="291"/>
      <c r="AE100" s="291"/>
      <c r="AF100" s="291"/>
      <c r="AG100" s="291"/>
      <c r="AH100" s="292"/>
      <c r="AI100" s="292"/>
      <c r="AJ100" s="292"/>
      <c r="AK100" s="293"/>
      <c r="AL100" s="232"/>
      <c r="AM100" s="158" t="b">
        <v>0</v>
      </c>
      <c r="AN100" s="799" t="s">
        <v>2313</v>
      </c>
      <c r="AO100" s="799"/>
      <c r="AP100" s="799"/>
    </row>
    <row r="101" spans="1:51" s="171" customFormat="1" ht="16.5" customHeight="1">
      <c r="A101" s="170"/>
      <c r="B101" s="283"/>
      <c r="C101" s="294" t="s">
        <v>95</v>
      </c>
      <c r="D101" s="295" t="s">
        <v>102</v>
      </c>
      <c r="E101" s="296"/>
      <c r="F101" s="296"/>
      <c r="G101" s="296"/>
      <c r="H101" s="296"/>
      <c r="I101" s="296"/>
      <c r="J101" s="296"/>
      <c r="K101" s="296"/>
      <c r="L101" s="296"/>
      <c r="M101" s="296"/>
      <c r="N101" s="296"/>
      <c r="O101" s="296"/>
      <c r="P101" s="296"/>
      <c r="Q101" s="296"/>
      <c r="R101" s="296"/>
      <c r="S101" s="296"/>
      <c r="T101" s="296"/>
      <c r="U101" s="296"/>
      <c r="V101" s="296"/>
      <c r="W101" s="296"/>
      <c r="X101" s="296"/>
      <c r="Y101" s="296"/>
      <c r="Z101" s="297"/>
      <c r="AA101" s="297"/>
      <c r="AB101" s="297"/>
      <c r="AC101" s="297"/>
      <c r="AD101" s="208"/>
      <c r="AE101" s="208"/>
      <c r="AF101" s="208"/>
      <c r="AG101" s="208"/>
      <c r="AH101" s="298"/>
      <c r="AI101" s="298"/>
      <c r="AJ101" s="298"/>
      <c r="AK101" s="299"/>
      <c r="AL101" s="232"/>
      <c r="AM101" s="300"/>
    </row>
    <row r="102" spans="1:51" s="171" customFormat="1" ht="6.75" customHeight="1" thickBot="1">
      <c r="A102" s="170"/>
      <c r="B102" s="283"/>
      <c r="C102" s="219"/>
      <c r="D102" s="215"/>
      <c r="E102" s="229"/>
      <c r="F102" s="229"/>
      <c r="G102" s="229"/>
      <c r="H102" s="229"/>
      <c r="I102" s="229"/>
      <c r="J102" s="229"/>
      <c r="K102" s="229"/>
      <c r="L102" s="229"/>
      <c r="M102" s="229"/>
      <c r="N102" s="229"/>
      <c r="O102" s="229"/>
      <c r="P102" s="229"/>
      <c r="Q102" s="229"/>
      <c r="R102" s="229"/>
      <c r="S102" s="229"/>
      <c r="T102" s="229"/>
      <c r="U102" s="229"/>
      <c r="V102" s="229"/>
      <c r="W102" s="229"/>
      <c r="X102" s="229"/>
      <c r="Y102" s="229"/>
      <c r="Z102" s="286"/>
      <c r="AA102" s="286"/>
      <c r="AB102" s="286"/>
      <c r="AC102" s="286"/>
      <c r="AD102" s="179"/>
      <c r="AE102" s="179"/>
      <c r="AF102" s="179"/>
      <c r="AG102" s="179"/>
      <c r="AH102" s="212"/>
      <c r="AI102" s="212"/>
      <c r="AJ102" s="212"/>
      <c r="AK102" s="212"/>
      <c r="AL102" s="232"/>
      <c r="AM102" s="300"/>
      <c r="AN102" s="163"/>
      <c r="AO102" s="163"/>
      <c r="AP102" s="163"/>
      <c r="AQ102" s="163"/>
    </row>
    <row r="103" spans="1:51" s="171" customFormat="1" ht="26.25" customHeight="1" thickBot="1">
      <c r="A103" s="170"/>
      <c r="B103" s="283"/>
      <c r="C103" s="818" t="s">
        <v>2116</v>
      </c>
      <c r="D103" s="818"/>
      <c r="E103" s="818"/>
      <c r="F103" s="818"/>
      <c r="G103" s="818"/>
      <c r="H103" s="818"/>
      <c r="I103" s="818"/>
      <c r="J103" s="818"/>
      <c r="K103" s="818"/>
      <c r="L103" s="229"/>
      <c r="M103" s="921"/>
      <c r="N103" s="922"/>
      <c r="O103" s="1134" t="s">
        <v>2105</v>
      </c>
      <c r="P103" s="1135"/>
      <c r="Q103" s="1135"/>
      <c r="R103" s="1135"/>
      <c r="S103" s="1135"/>
      <c r="T103" s="1135"/>
      <c r="U103" s="1135"/>
      <c r="V103" s="1135"/>
      <c r="W103" s="1135"/>
      <c r="X103" s="1135"/>
      <c r="Y103" s="1135"/>
      <c r="Z103" s="1135"/>
      <c r="AA103" s="1135"/>
      <c r="AB103" s="1135"/>
      <c r="AC103" s="1135"/>
      <c r="AD103" s="1135"/>
      <c r="AE103" s="1135"/>
      <c r="AF103" s="1135"/>
      <c r="AG103" s="1135"/>
      <c r="AH103" s="1135"/>
      <c r="AI103" s="1135"/>
      <c r="AJ103" s="1136"/>
      <c r="AK103" s="188" t="str">
        <f>IF(T98="○","",(IF(AM100=TRUE,"○","×")))</f>
        <v>×</v>
      </c>
      <c r="AL103" s="170"/>
      <c r="AM103" s="802" t="s">
        <v>2253</v>
      </c>
      <c r="AN103" s="843"/>
      <c r="AO103" s="843"/>
      <c r="AP103" s="843"/>
      <c r="AQ103" s="843"/>
      <c r="AR103" s="843"/>
      <c r="AS103" s="843"/>
      <c r="AT103" s="843"/>
      <c r="AU103" s="843"/>
      <c r="AV103" s="843"/>
      <c r="AW103" s="843"/>
      <c r="AX103" s="843"/>
      <c r="AY103" s="844"/>
    </row>
    <row r="104" spans="1:51" s="171" customFormat="1" ht="8.25" customHeight="1">
      <c r="A104" s="170"/>
      <c r="B104" s="283"/>
      <c r="C104" s="226"/>
      <c r="D104" s="215"/>
      <c r="E104" s="229"/>
      <c r="F104" s="229"/>
      <c r="G104" s="229"/>
      <c r="H104" s="229"/>
      <c r="I104" s="229"/>
      <c r="J104" s="229"/>
      <c r="K104" s="229"/>
      <c r="L104" s="229"/>
      <c r="M104" s="229"/>
      <c r="N104" s="229"/>
      <c r="O104" s="229"/>
      <c r="P104" s="229"/>
      <c r="Q104" s="229"/>
      <c r="R104" s="229"/>
      <c r="S104" s="229"/>
      <c r="T104" s="229"/>
      <c r="U104" s="229"/>
      <c r="V104" s="229"/>
      <c r="W104" s="229"/>
      <c r="X104" s="229"/>
      <c r="Y104" s="229"/>
      <c r="Z104" s="286"/>
      <c r="AA104" s="286"/>
      <c r="AB104" s="286"/>
      <c r="AC104" s="286"/>
      <c r="AD104" s="179"/>
      <c r="AE104" s="179"/>
      <c r="AF104" s="179"/>
      <c r="AG104" s="179"/>
      <c r="AH104" s="212"/>
      <c r="AI104" s="212"/>
      <c r="AJ104" s="212"/>
      <c r="AK104" s="212"/>
      <c r="AL104" s="232"/>
      <c r="AM104" s="300"/>
      <c r="AN104" s="163"/>
      <c r="AO104" s="163"/>
      <c r="AP104" s="163"/>
      <c r="AQ104" s="163"/>
    </row>
    <row r="105" spans="1:51" s="171" customFormat="1" ht="16.5" customHeight="1" thickBot="1">
      <c r="A105" s="170"/>
      <c r="B105" s="170"/>
      <c r="C105" s="962" t="s">
        <v>253</v>
      </c>
      <c r="D105" s="962"/>
      <c r="E105" s="962"/>
      <c r="F105" s="962"/>
      <c r="G105" s="962"/>
      <c r="H105" s="962"/>
      <c r="I105" s="962"/>
      <c r="J105" s="962"/>
      <c r="K105" s="962"/>
      <c r="L105" s="962"/>
      <c r="M105" s="962"/>
      <c r="N105" s="962"/>
      <c r="O105" s="962"/>
      <c r="P105" s="962"/>
      <c r="Q105" s="962"/>
      <c r="R105" s="962"/>
      <c r="S105" s="301"/>
      <c r="T105" s="301"/>
      <c r="U105" s="301"/>
      <c r="V105" s="301"/>
      <c r="W105" s="301"/>
      <c r="X105" s="301"/>
      <c r="Y105" s="229"/>
      <c r="Z105" s="301"/>
      <c r="AA105" s="301"/>
      <c r="AB105" s="301"/>
      <c r="AC105" s="301"/>
      <c r="AD105" s="301"/>
      <c r="AE105" s="301"/>
      <c r="AF105" s="301"/>
      <c r="AG105" s="301"/>
      <c r="AH105" s="301"/>
      <c r="AI105" s="301"/>
      <c r="AJ105" s="301"/>
      <c r="AK105" s="301"/>
      <c r="AL105" s="301"/>
    </row>
    <row r="106" spans="1:51" s="171" customFormat="1" ht="16.5" customHeight="1" thickBot="1">
      <c r="A106" s="170"/>
      <c r="B106" s="302"/>
      <c r="C106" s="921"/>
      <c r="D106" s="922"/>
      <c r="E106" s="974" t="s">
        <v>255</v>
      </c>
      <c r="F106" s="974"/>
      <c r="G106" s="974"/>
      <c r="H106" s="974"/>
      <c r="I106" s="974"/>
      <c r="J106" s="974"/>
      <c r="K106" s="974"/>
      <c r="L106" s="974"/>
      <c r="M106" s="974"/>
      <c r="N106" s="974"/>
      <c r="O106" s="974"/>
      <c r="P106" s="974"/>
      <c r="Q106" s="974"/>
      <c r="R106" s="975"/>
      <c r="S106" s="281" t="s">
        <v>238</v>
      </c>
      <c r="T106" s="240" t="str">
        <f>IFERROR(IF(AND(AM107=TRUE,OR(AND(AR107=TRUE,J109&lt;&gt;""),AND(AR108=TRUE,J111&lt;&gt;""))),"○",IF(AND(AI95="該当",OR(AM99=TRUE,AM100=TRUE)),"","×")),"")</f>
        <v>×</v>
      </c>
      <c r="U106" s="303"/>
      <c r="V106" s="304"/>
      <c r="W106" s="304"/>
      <c r="X106" s="304"/>
      <c r="Y106" s="304"/>
      <c r="Z106" s="304"/>
      <c r="AA106" s="304"/>
      <c r="AB106" s="304"/>
      <c r="AC106" s="304"/>
      <c r="AD106" s="304"/>
      <c r="AE106" s="304"/>
      <c r="AF106" s="304"/>
      <c r="AG106" s="304"/>
      <c r="AH106" s="304"/>
      <c r="AI106" s="304"/>
      <c r="AJ106" s="304"/>
      <c r="AK106" s="304"/>
      <c r="AL106" s="301"/>
      <c r="AM106" s="220" t="s">
        <v>2305</v>
      </c>
    </row>
    <row r="107" spans="1:51" s="171" customFormat="1" ht="26.25" customHeight="1" thickBot="1">
      <c r="A107" s="170"/>
      <c r="B107" s="814"/>
      <c r="C107" s="284" t="s">
        <v>33</v>
      </c>
      <c r="D107" s="822" t="s">
        <v>259</v>
      </c>
      <c r="E107" s="823"/>
      <c r="F107" s="823"/>
      <c r="G107" s="823"/>
      <c r="H107" s="824"/>
      <c r="I107" s="824"/>
      <c r="J107" s="824"/>
      <c r="K107" s="824"/>
      <c r="L107" s="824"/>
      <c r="M107" s="824"/>
      <c r="N107" s="824"/>
      <c r="O107" s="824"/>
      <c r="P107" s="824"/>
      <c r="Q107" s="824"/>
      <c r="R107" s="824"/>
      <c r="S107" s="824"/>
      <c r="T107" s="824"/>
      <c r="U107" s="824"/>
      <c r="V107" s="824"/>
      <c r="W107" s="824"/>
      <c r="X107" s="824"/>
      <c r="Y107" s="824"/>
      <c r="Z107" s="824"/>
      <c r="AA107" s="824"/>
      <c r="AB107" s="824"/>
      <c r="AC107" s="824"/>
      <c r="AD107" s="824"/>
      <c r="AE107" s="824"/>
      <c r="AF107" s="824"/>
      <c r="AG107" s="824"/>
      <c r="AH107" s="824"/>
      <c r="AI107" s="824"/>
      <c r="AJ107" s="824"/>
      <c r="AK107" s="825"/>
      <c r="AL107" s="170"/>
      <c r="AM107" s="158" t="b">
        <v>0</v>
      </c>
      <c r="AN107" s="799" t="s">
        <v>2311</v>
      </c>
      <c r="AO107" s="799"/>
      <c r="AP107" s="799"/>
      <c r="AQ107" s="163"/>
      <c r="AR107" s="158" t="b">
        <v>0</v>
      </c>
      <c r="AS107" s="799" t="s">
        <v>2314</v>
      </c>
      <c r="AT107" s="799"/>
      <c r="AU107" s="799"/>
    </row>
    <row r="108" spans="1:51" s="171" customFormat="1" ht="25.5" customHeight="1" thickBot="1">
      <c r="A108" s="170"/>
      <c r="B108" s="814"/>
      <c r="C108" s="919"/>
      <c r="D108" s="942" t="s">
        <v>96</v>
      </c>
      <c r="E108" s="943"/>
      <c r="F108" s="943"/>
      <c r="G108" s="943"/>
      <c r="H108" s="826"/>
      <c r="I108" s="887" t="s">
        <v>97</v>
      </c>
      <c r="J108" s="1005" t="s">
        <v>176</v>
      </c>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7"/>
      <c r="AL108" s="170"/>
      <c r="AM108" s="158" t="b">
        <v>0</v>
      </c>
      <c r="AN108" s="799" t="s">
        <v>2313</v>
      </c>
      <c r="AO108" s="799"/>
      <c r="AP108" s="799"/>
      <c r="AQ108" s="305"/>
      <c r="AR108" s="158" t="b">
        <v>0</v>
      </c>
      <c r="AS108" s="799" t="s">
        <v>2315</v>
      </c>
      <c r="AT108" s="799"/>
      <c r="AU108" s="799"/>
      <c r="AV108" s="305"/>
      <c r="AW108" s="305"/>
      <c r="AX108" s="305"/>
      <c r="AY108" s="305"/>
    </row>
    <row r="109" spans="1:51" s="171" customFormat="1" ht="33" customHeight="1" thickBot="1">
      <c r="A109" s="170"/>
      <c r="B109" s="814"/>
      <c r="C109" s="919"/>
      <c r="D109" s="944"/>
      <c r="E109" s="945"/>
      <c r="F109" s="945"/>
      <c r="G109" s="945"/>
      <c r="H109" s="827"/>
      <c r="I109" s="888"/>
      <c r="J109" s="809"/>
      <c r="K109" s="810"/>
      <c r="L109" s="810"/>
      <c r="M109" s="810"/>
      <c r="N109" s="810"/>
      <c r="O109" s="810"/>
      <c r="P109" s="810"/>
      <c r="Q109" s="810"/>
      <c r="R109" s="810"/>
      <c r="S109" s="810"/>
      <c r="T109" s="810"/>
      <c r="U109" s="810"/>
      <c r="V109" s="810"/>
      <c r="W109" s="810"/>
      <c r="X109" s="810"/>
      <c r="Y109" s="810"/>
      <c r="Z109" s="810"/>
      <c r="AA109" s="810"/>
      <c r="AB109" s="810"/>
      <c r="AC109" s="810"/>
      <c r="AD109" s="810"/>
      <c r="AE109" s="810"/>
      <c r="AF109" s="810"/>
      <c r="AG109" s="810"/>
      <c r="AH109" s="810"/>
      <c r="AI109" s="810"/>
      <c r="AJ109" s="810"/>
      <c r="AK109" s="811"/>
      <c r="AL109" s="170"/>
      <c r="AM109" s="802" t="s">
        <v>2385</v>
      </c>
      <c r="AN109" s="803"/>
      <c r="AO109" s="803"/>
      <c r="AP109" s="803"/>
      <c r="AQ109" s="803"/>
      <c r="AR109" s="803"/>
      <c r="AS109" s="803"/>
      <c r="AT109" s="803"/>
      <c r="AU109" s="803"/>
      <c r="AV109" s="803"/>
      <c r="AW109" s="803"/>
      <c r="AX109" s="803"/>
      <c r="AY109" s="804"/>
    </row>
    <row r="110" spans="1:51" s="171" customFormat="1" ht="19.5" customHeight="1" thickBot="1">
      <c r="A110" s="170"/>
      <c r="B110" s="814"/>
      <c r="C110" s="919"/>
      <c r="D110" s="944"/>
      <c r="E110" s="945"/>
      <c r="F110" s="945"/>
      <c r="G110" s="945"/>
      <c r="H110" s="959"/>
      <c r="I110" s="812" t="s">
        <v>9</v>
      </c>
      <c r="J110" s="306" t="s">
        <v>36</v>
      </c>
      <c r="K110" s="307"/>
      <c r="L110" s="307"/>
      <c r="M110" s="307"/>
      <c r="N110" s="307"/>
      <c r="O110" s="307"/>
      <c r="P110" s="307"/>
      <c r="Q110" s="307"/>
      <c r="R110" s="307"/>
      <c r="S110" s="1049" t="s">
        <v>172</v>
      </c>
      <c r="T110" s="1049"/>
      <c r="U110" s="1049"/>
      <c r="V110" s="1049"/>
      <c r="W110" s="1049"/>
      <c r="X110" s="1049"/>
      <c r="Y110" s="1049"/>
      <c r="Z110" s="1049"/>
      <c r="AA110" s="1049"/>
      <c r="AB110" s="1049"/>
      <c r="AC110" s="1049"/>
      <c r="AD110" s="1049"/>
      <c r="AE110" s="1049"/>
      <c r="AF110" s="1049"/>
      <c r="AG110" s="1049"/>
      <c r="AH110" s="1049"/>
      <c r="AI110" s="1049"/>
      <c r="AJ110" s="1049"/>
      <c r="AK110" s="1050"/>
      <c r="AL110" s="170"/>
      <c r="AM110" s="305"/>
      <c r="AN110" s="305"/>
      <c r="AO110" s="305"/>
      <c r="AP110" s="305"/>
      <c r="AQ110" s="305"/>
      <c r="AR110" s="305"/>
      <c r="AS110" s="305"/>
      <c r="AT110" s="305"/>
      <c r="AU110" s="305"/>
      <c r="AV110" s="305"/>
      <c r="AW110" s="305"/>
      <c r="AX110" s="305"/>
      <c r="AY110" s="305"/>
    </row>
    <row r="111" spans="1:51" s="171" customFormat="1" ht="35.25" customHeight="1" thickBot="1">
      <c r="A111" s="170"/>
      <c r="B111" s="814"/>
      <c r="C111" s="920"/>
      <c r="D111" s="946"/>
      <c r="E111" s="947"/>
      <c r="F111" s="947"/>
      <c r="G111" s="947"/>
      <c r="H111" s="960"/>
      <c r="I111" s="813"/>
      <c r="J111" s="819"/>
      <c r="K111" s="820"/>
      <c r="L111" s="820"/>
      <c r="M111" s="820"/>
      <c r="N111" s="820"/>
      <c r="O111" s="820"/>
      <c r="P111" s="820"/>
      <c r="Q111" s="820"/>
      <c r="R111" s="820"/>
      <c r="S111" s="820"/>
      <c r="T111" s="820"/>
      <c r="U111" s="820"/>
      <c r="V111" s="820"/>
      <c r="W111" s="820"/>
      <c r="X111" s="820"/>
      <c r="Y111" s="820"/>
      <c r="Z111" s="820"/>
      <c r="AA111" s="820"/>
      <c r="AB111" s="820"/>
      <c r="AC111" s="820"/>
      <c r="AD111" s="820"/>
      <c r="AE111" s="820"/>
      <c r="AF111" s="820"/>
      <c r="AG111" s="820"/>
      <c r="AH111" s="820"/>
      <c r="AI111" s="820"/>
      <c r="AJ111" s="820"/>
      <c r="AK111" s="821"/>
      <c r="AL111" s="170"/>
      <c r="AM111" s="802" t="s">
        <v>2386</v>
      </c>
      <c r="AN111" s="803"/>
      <c r="AO111" s="803"/>
      <c r="AP111" s="803"/>
      <c r="AQ111" s="803"/>
      <c r="AR111" s="803"/>
      <c r="AS111" s="803"/>
      <c r="AT111" s="803"/>
      <c r="AU111" s="803"/>
      <c r="AV111" s="803"/>
      <c r="AW111" s="803"/>
      <c r="AX111" s="803"/>
      <c r="AY111" s="804"/>
    </row>
    <row r="112" spans="1:51" s="171" customFormat="1" ht="18" customHeight="1">
      <c r="A112" s="170"/>
      <c r="B112" s="308"/>
      <c r="C112" s="309" t="s">
        <v>100</v>
      </c>
      <c r="D112" s="295" t="s">
        <v>101</v>
      </c>
      <c r="E112" s="310"/>
      <c r="F112" s="310"/>
      <c r="G112" s="310"/>
      <c r="H112" s="296"/>
      <c r="I112" s="296"/>
      <c r="J112" s="296"/>
      <c r="K112" s="296"/>
      <c r="L112" s="296"/>
      <c r="M112" s="296"/>
      <c r="N112" s="296"/>
      <c r="O112" s="296"/>
      <c r="P112" s="296"/>
      <c r="Q112" s="296"/>
      <c r="R112" s="296"/>
      <c r="S112" s="296"/>
      <c r="T112" s="296"/>
      <c r="U112" s="296"/>
      <c r="V112" s="296"/>
      <c r="W112" s="296"/>
      <c r="X112" s="296"/>
      <c r="Y112" s="296"/>
      <c r="Z112" s="297"/>
      <c r="AA112" s="297"/>
      <c r="AB112" s="297"/>
      <c r="AC112" s="297"/>
      <c r="AD112" s="208"/>
      <c r="AE112" s="208"/>
      <c r="AF112" s="208"/>
      <c r="AG112" s="208"/>
      <c r="AH112" s="298"/>
      <c r="AI112" s="298"/>
      <c r="AJ112" s="298"/>
      <c r="AK112" s="311"/>
      <c r="AL112" s="232"/>
      <c r="AM112" s="300"/>
    </row>
    <row r="113" spans="1:51" s="171" customFormat="1" ht="6.75" customHeight="1" thickBot="1">
      <c r="A113" s="170"/>
      <c r="B113" s="312"/>
      <c r="C113" s="312"/>
      <c r="D113" s="312"/>
      <c r="E113" s="312"/>
      <c r="F113" s="312"/>
      <c r="G113" s="312"/>
      <c r="H113" s="312"/>
      <c r="I113" s="312"/>
      <c r="J113" s="312"/>
      <c r="K113" s="312"/>
      <c r="L113" s="227"/>
      <c r="M113" s="227"/>
      <c r="N113" s="227"/>
      <c r="O113" s="227"/>
      <c r="P113" s="227"/>
      <c r="Q113" s="227"/>
      <c r="R113" s="227"/>
      <c r="S113" s="227"/>
      <c r="T113" s="227"/>
      <c r="U113" s="227"/>
      <c r="V113" s="227"/>
      <c r="W113" s="227"/>
      <c r="X113" s="227"/>
      <c r="Y113" s="227"/>
      <c r="Z113" s="227"/>
      <c r="AA113" s="227"/>
      <c r="AB113" s="227"/>
      <c r="AC113" s="227"/>
      <c r="AD113" s="227"/>
      <c r="AE113" s="227"/>
      <c r="AF113" s="227"/>
      <c r="AG113" s="227"/>
      <c r="AH113" s="227"/>
      <c r="AI113" s="227"/>
      <c r="AJ113" s="227"/>
      <c r="AK113" s="227"/>
      <c r="AL113" s="170"/>
      <c r="AM113" s="313"/>
    </row>
    <row r="114" spans="1:51" s="171" customFormat="1" ht="25.5" customHeight="1" thickBot="1">
      <c r="A114" s="170"/>
      <c r="B114" s="283"/>
      <c r="C114" s="818" t="s">
        <v>2384</v>
      </c>
      <c r="D114" s="818"/>
      <c r="E114" s="818"/>
      <c r="F114" s="818"/>
      <c r="G114" s="818"/>
      <c r="H114" s="818"/>
      <c r="I114" s="818"/>
      <c r="J114" s="818"/>
      <c r="K114" s="818"/>
      <c r="L114" s="229"/>
      <c r="M114" s="921"/>
      <c r="N114" s="922"/>
      <c r="O114" s="806" t="s">
        <v>2117</v>
      </c>
      <c r="P114" s="807"/>
      <c r="Q114" s="807"/>
      <c r="R114" s="807"/>
      <c r="S114" s="807"/>
      <c r="T114" s="807"/>
      <c r="U114" s="807"/>
      <c r="V114" s="807"/>
      <c r="W114" s="807"/>
      <c r="X114" s="807"/>
      <c r="Y114" s="807"/>
      <c r="Z114" s="807"/>
      <c r="AA114" s="807"/>
      <c r="AB114" s="807"/>
      <c r="AC114" s="807"/>
      <c r="AD114" s="807"/>
      <c r="AE114" s="807"/>
      <c r="AF114" s="807"/>
      <c r="AG114" s="807"/>
      <c r="AH114" s="807"/>
      <c r="AI114" s="807"/>
      <c r="AJ114" s="808"/>
      <c r="AK114" s="188" t="str">
        <f>IF(T106="○","",(IF(AM108=TRUE,"○","×")))</f>
        <v>×</v>
      </c>
      <c r="AL114" s="170"/>
      <c r="AM114" s="802" t="s">
        <v>2252</v>
      </c>
      <c r="AN114" s="843"/>
      <c r="AO114" s="843"/>
      <c r="AP114" s="843"/>
      <c r="AQ114" s="843"/>
      <c r="AR114" s="843"/>
      <c r="AS114" s="843"/>
      <c r="AT114" s="843"/>
      <c r="AU114" s="843"/>
      <c r="AV114" s="843"/>
      <c r="AW114" s="843"/>
      <c r="AX114" s="843"/>
      <c r="AY114" s="844"/>
    </row>
    <row r="115" spans="1:51" s="171" customFormat="1" ht="12" customHeight="1">
      <c r="A115" s="170"/>
      <c r="B115" s="312"/>
      <c r="C115" s="312"/>
      <c r="D115" s="312"/>
      <c r="E115" s="312"/>
      <c r="F115" s="312"/>
      <c r="G115" s="312"/>
      <c r="H115" s="312"/>
      <c r="I115" s="312"/>
      <c r="J115" s="312"/>
      <c r="K115" s="312"/>
      <c r="L115" s="227"/>
      <c r="M115" s="227"/>
      <c r="N115" s="227"/>
      <c r="O115" s="227"/>
      <c r="P115" s="227"/>
      <c r="Q115" s="227"/>
      <c r="R115" s="227"/>
      <c r="S115" s="227"/>
      <c r="T115" s="227"/>
      <c r="U115" s="227"/>
      <c r="V115" s="227"/>
      <c r="W115" s="227"/>
      <c r="X115" s="227"/>
      <c r="Y115" s="227"/>
      <c r="Z115" s="227"/>
      <c r="AA115" s="227"/>
      <c r="AB115" s="227"/>
      <c r="AC115" s="227"/>
      <c r="AD115" s="227"/>
      <c r="AE115" s="227"/>
      <c r="AF115" s="227"/>
      <c r="AG115" s="227"/>
      <c r="AH115" s="227"/>
      <c r="AI115" s="227"/>
      <c r="AJ115" s="227"/>
      <c r="AK115" s="227"/>
      <c r="AL115" s="170"/>
      <c r="AM115" s="313"/>
    </row>
    <row r="116" spans="1:51" s="171" customFormat="1" ht="21" customHeight="1">
      <c r="A116" s="170"/>
      <c r="B116" s="1125" t="s">
        <v>257</v>
      </c>
      <c r="C116" s="1125"/>
      <c r="D116" s="1125"/>
      <c r="E116" s="1125"/>
      <c r="F116" s="1125"/>
      <c r="G116" s="1125"/>
      <c r="H116" s="1125"/>
      <c r="I116" s="1125"/>
      <c r="J116" s="1125"/>
      <c r="K116" s="1125"/>
      <c r="L116" s="1125"/>
      <c r="M116" s="1125"/>
      <c r="N116" s="1125"/>
      <c r="O116" s="1125"/>
      <c r="P116" s="1125"/>
      <c r="Q116" s="1125"/>
      <c r="R116" s="1125"/>
      <c r="S116" s="1125"/>
      <c r="T116" s="1125"/>
      <c r="U116" s="1125"/>
      <c r="V116" s="1125"/>
      <c r="W116" s="1125"/>
      <c r="X116" s="1125"/>
      <c r="Y116" s="1125"/>
      <c r="Z116" s="1125"/>
      <c r="AA116" s="1125"/>
      <c r="AB116" s="1125"/>
      <c r="AC116" s="1125"/>
      <c r="AD116" s="1125"/>
      <c r="AE116" s="1125"/>
      <c r="AF116" s="1125"/>
      <c r="AG116" s="1125"/>
      <c r="AH116" s="1125"/>
      <c r="AI116" s="1125"/>
      <c r="AJ116" s="1125"/>
      <c r="AK116" s="1125"/>
      <c r="AL116" s="170"/>
      <c r="AM116" s="314" t="str">
        <f>IF(AND('別紙様式2-2（４・５月分）'!AR7="処遇加算Ⅰなし",'別紙様式2-3（６月以降分）'!AZ6="旧処遇加算Ⅰ相当なし"),"記入不要","要記入")</f>
        <v>記入不要</v>
      </c>
    </row>
    <row r="117" spans="1:51" s="171" customFormat="1" ht="17.25" customHeight="1" thickBot="1">
      <c r="A117" s="170"/>
      <c r="B117" s="315" t="s">
        <v>254</v>
      </c>
      <c r="C117" s="316"/>
      <c r="D117" s="317"/>
      <c r="E117" s="316"/>
      <c r="F117" s="316"/>
      <c r="G117" s="316"/>
      <c r="H117" s="316"/>
      <c r="I117" s="316"/>
      <c r="J117" s="316"/>
      <c r="K117" s="316"/>
      <c r="L117" s="316"/>
      <c r="M117" s="316"/>
      <c r="N117" s="316"/>
      <c r="O117" s="316"/>
      <c r="P117" s="316"/>
      <c r="Q117" s="316"/>
      <c r="R117" s="316"/>
      <c r="S117" s="316"/>
      <c r="T117" s="316"/>
      <c r="U117" s="316"/>
      <c r="V117" s="316"/>
      <c r="W117" s="316"/>
      <c r="X117" s="316"/>
      <c r="Y117" s="316"/>
      <c r="Z117" s="316"/>
      <c r="AA117" s="316"/>
      <c r="AB117" s="316"/>
      <c r="AC117" s="316"/>
      <c r="AD117" s="316"/>
      <c r="AE117" s="316"/>
      <c r="AF117" s="316"/>
      <c r="AG117" s="316"/>
      <c r="AH117" s="316"/>
      <c r="AI117" s="316"/>
      <c r="AJ117" s="316"/>
      <c r="AK117" s="316"/>
      <c r="AL117" s="316"/>
      <c r="AM117" s="220" t="s">
        <v>2305</v>
      </c>
      <c r="AR117" s="158" t="b">
        <v>0</v>
      </c>
      <c r="AS117" s="799" t="s">
        <v>2314</v>
      </c>
      <c r="AT117" s="799"/>
      <c r="AU117" s="799"/>
    </row>
    <row r="118" spans="1:51" s="171" customFormat="1" ht="20.25" customHeight="1" thickBot="1">
      <c r="A118" s="170"/>
      <c r="B118" s="921"/>
      <c r="C118" s="922"/>
      <c r="D118" s="1179" t="s">
        <v>255</v>
      </c>
      <c r="E118" s="1179"/>
      <c r="F118" s="1179"/>
      <c r="G118" s="1179"/>
      <c r="H118" s="1179"/>
      <c r="I118" s="1179"/>
      <c r="J118" s="1179"/>
      <c r="K118" s="1179"/>
      <c r="L118" s="1179"/>
      <c r="M118" s="1179"/>
      <c r="N118" s="1179"/>
      <c r="O118" s="1179"/>
      <c r="P118" s="1179"/>
      <c r="Q118" s="1180"/>
      <c r="R118" s="318" t="s">
        <v>238</v>
      </c>
      <c r="S118" s="240" t="str">
        <f>IF(AM116="記入不要","",IF(AND(AM118=TRUE,OR(AR117=TRUE,AR118=TRUE,AR119=TRUE)),"○","×"))</f>
        <v/>
      </c>
      <c r="T118" s="319"/>
      <c r="U118" s="316"/>
      <c r="V118" s="316"/>
      <c r="W118" s="316"/>
      <c r="X118" s="316"/>
      <c r="Y118" s="316"/>
      <c r="Z118" s="316"/>
      <c r="AA118" s="316"/>
      <c r="AB118" s="316"/>
      <c r="AC118" s="316"/>
      <c r="AD118" s="316"/>
      <c r="AE118" s="316"/>
      <c r="AF118" s="316"/>
      <c r="AG118" s="316"/>
      <c r="AH118" s="316"/>
      <c r="AI118" s="316"/>
      <c r="AJ118" s="316"/>
      <c r="AK118" s="316"/>
      <c r="AL118" s="316"/>
      <c r="AM118" s="158" t="b">
        <v>0</v>
      </c>
      <c r="AN118" s="799" t="s">
        <v>2311</v>
      </c>
      <c r="AO118" s="799"/>
      <c r="AP118" s="799"/>
      <c r="AR118" s="158" t="b">
        <v>0</v>
      </c>
      <c r="AS118" s="799" t="s">
        <v>2315</v>
      </c>
      <c r="AT118" s="799"/>
      <c r="AU118" s="799"/>
    </row>
    <row r="119" spans="1:51" s="171" customFormat="1" ht="28.5" customHeight="1" thickBot="1">
      <c r="A119" s="170"/>
      <c r="B119" s="284" t="s">
        <v>93</v>
      </c>
      <c r="C119" s="1126" t="s">
        <v>44</v>
      </c>
      <c r="D119" s="925"/>
      <c r="E119" s="925"/>
      <c r="F119" s="925"/>
      <c r="G119" s="925"/>
      <c r="H119" s="925"/>
      <c r="I119" s="925"/>
      <c r="J119" s="925"/>
      <c r="K119" s="925"/>
      <c r="L119" s="925"/>
      <c r="M119" s="925"/>
      <c r="N119" s="925"/>
      <c r="O119" s="925"/>
      <c r="P119" s="925"/>
      <c r="Q119" s="925"/>
      <c r="R119" s="925"/>
      <c r="S119" s="928"/>
      <c r="T119" s="925"/>
      <c r="U119" s="925"/>
      <c r="V119" s="925"/>
      <c r="W119" s="925"/>
      <c r="X119" s="925"/>
      <c r="Y119" s="925"/>
      <c r="Z119" s="925"/>
      <c r="AA119" s="925"/>
      <c r="AB119" s="925"/>
      <c r="AC119" s="925"/>
      <c r="AD119" s="925"/>
      <c r="AE119" s="925"/>
      <c r="AF119" s="925"/>
      <c r="AG119" s="925"/>
      <c r="AH119" s="925"/>
      <c r="AI119" s="925"/>
      <c r="AJ119" s="925"/>
      <c r="AK119" s="1127"/>
      <c r="AL119" s="170"/>
      <c r="AM119" s="158" t="b">
        <v>0</v>
      </c>
      <c r="AN119" s="799" t="s">
        <v>2313</v>
      </c>
      <c r="AO119" s="799"/>
      <c r="AP119" s="799"/>
      <c r="AR119" s="158" t="b">
        <v>0</v>
      </c>
      <c r="AS119" s="799" t="s">
        <v>2316</v>
      </c>
      <c r="AT119" s="799"/>
      <c r="AU119" s="799"/>
    </row>
    <row r="120" spans="1:51" s="171" customFormat="1" ht="25.5" customHeight="1">
      <c r="A120" s="170"/>
      <c r="B120" s="919"/>
      <c r="C120" s="942" t="s">
        <v>103</v>
      </c>
      <c r="D120" s="943"/>
      <c r="E120" s="943"/>
      <c r="F120" s="943"/>
      <c r="G120" s="320"/>
      <c r="H120" s="321" t="s">
        <v>46</v>
      </c>
      <c r="I120" s="878" t="s">
        <v>34</v>
      </c>
      <c r="J120" s="879"/>
      <c r="K120" s="879"/>
      <c r="L120" s="879"/>
      <c r="M120" s="879"/>
      <c r="N120" s="879"/>
      <c r="O120" s="879"/>
      <c r="P120" s="879"/>
      <c r="Q120" s="879"/>
      <c r="R120" s="879"/>
      <c r="S120" s="879"/>
      <c r="T120" s="879"/>
      <c r="U120" s="879"/>
      <c r="V120" s="879"/>
      <c r="W120" s="879"/>
      <c r="X120" s="879"/>
      <c r="Y120" s="879"/>
      <c r="Z120" s="879"/>
      <c r="AA120" s="879"/>
      <c r="AB120" s="879"/>
      <c r="AC120" s="879"/>
      <c r="AD120" s="879"/>
      <c r="AE120" s="879"/>
      <c r="AF120" s="879"/>
      <c r="AG120" s="879"/>
      <c r="AH120" s="879"/>
      <c r="AI120" s="879"/>
      <c r="AJ120" s="879"/>
      <c r="AK120" s="880"/>
      <c r="AL120" s="170"/>
      <c r="AM120" s="793" t="s">
        <v>2387</v>
      </c>
      <c r="AN120" s="1212"/>
      <c r="AO120" s="1212"/>
      <c r="AP120" s="1212"/>
      <c r="AQ120" s="1212"/>
      <c r="AR120" s="1212"/>
      <c r="AS120" s="1212"/>
      <c r="AT120" s="1212"/>
      <c r="AU120" s="1212"/>
      <c r="AV120" s="1212"/>
      <c r="AW120" s="1212"/>
      <c r="AX120" s="1212"/>
      <c r="AY120" s="1213"/>
    </row>
    <row r="121" spans="1:51" s="171" customFormat="1" ht="33.75" customHeight="1">
      <c r="A121" s="170"/>
      <c r="B121" s="919"/>
      <c r="C121" s="944"/>
      <c r="D121" s="945"/>
      <c r="E121" s="945"/>
      <c r="F121" s="945"/>
      <c r="G121" s="322"/>
      <c r="H121" s="323" t="s">
        <v>99</v>
      </c>
      <c r="I121" s="881" t="s">
        <v>31</v>
      </c>
      <c r="J121" s="882"/>
      <c r="K121" s="882"/>
      <c r="L121" s="882"/>
      <c r="M121" s="882"/>
      <c r="N121" s="882"/>
      <c r="O121" s="882"/>
      <c r="P121" s="882"/>
      <c r="Q121" s="882"/>
      <c r="R121" s="882"/>
      <c r="S121" s="882"/>
      <c r="T121" s="882"/>
      <c r="U121" s="882"/>
      <c r="V121" s="882"/>
      <c r="W121" s="882"/>
      <c r="X121" s="882"/>
      <c r="Y121" s="882"/>
      <c r="Z121" s="882"/>
      <c r="AA121" s="882"/>
      <c r="AB121" s="882"/>
      <c r="AC121" s="882"/>
      <c r="AD121" s="882"/>
      <c r="AE121" s="882"/>
      <c r="AF121" s="882"/>
      <c r="AG121" s="882"/>
      <c r="AH121" s="882"/>
      <c r="AI121" s="882"/>
      <c r="AJ121" s="882"/>
      <c r="AK121" s="883"/>
      <c r="AL121" s="170"/>
      <c r="AM121" s="1214"/>
      <c r="AN121" s="1215"/>
      <c r="AO121" s="1215"/>
      <c r="AP121" s="1215"/>
      <c r="AQ121" s="1215"/>
      <c r="AR121" s="1215"/>
      <c r="AS121" s="1215"/>
      <c r="AT121" s="1215"/>
      <c r="AU121" s="1215"/>
      <c r="AV121" s="1215"/>
      <c r="AW121" s="1215"/>
      <c r="AX121" s="1215"/>
      <c r="AY121" s="1216"/>
    </row>
    <row r="122" spans="1:51" s="171" customFormat="1" ht="37.5" customHeight="1" thickBot="1">
      <c r="A122" s="170"/>
      <c r="B122" s="920"/>
      <c r="C122" s="946"/>
      <c r="D122" s="947"/>
      <c r="E122" s="947"/>
      <c r="F122" s="947"/>
      <c r="G122" s="324"/>
      <c r="H122" s="325" t="s">
        <v>98</v>
      </c>
      <c r="I122" s="884" t="s">
        <v>35</v>
      </c>
      <c r="J122" s="885"/>
      <c r="K122" s="885"/>
      <c r="L122" s="885"/>
      <c r="M122" s="885"/>
      <c r="N122" s="885"/>
      <c r="O122" s="885"/>
      <c r="P122" s="885"/>
      <c r="Q122" s="885"/>
      <c r="R122" s="885"/>
      <c r="S122" s="885"/>
      <c r="T122" s="885"/>
      <c r="U122" s="885"/>
      <c r="V122" s="885"/>
      <c r="W122" s="885"/>
      <c r="X122" s="885"/>
      <c r="Y122" s="885"/>
      <c r="Z122" s="885"/>
      <c r="AA122" s="885"/>
      <c r="AB122" s="885"/>
      <c r="AC122" s="885"/>
      <c r="AD122" s="885"/>
      <c r="AE122" s="885"/>
      <c r="AF122" s="885"/>
      <c r="AG122" s="885"/>
      <c r="AH122" s="885"/>
      <c r="AI122" s="885"/>
      <c r="AJ122" s="885"/>
      <c r="AK122" s="886"/>
      <c r="AL122" s="170"/>
      <c r="AM122" s="1217"/>
      <c r="AN122" s="1218"/>
      <c r="AO122" s="1218"/>
      <c r="AP122" s="1218"/>
      <c r="AQ122" s="1218"/>
      <c r="AR122" s="1218"/>
      <c r="AS122" s="1218"/>
      <c r="AT122" s="1218"/>
      <c r="AU122" s="1218"/>
      <c r="AV122" s="1218"/>
      <c r="AW122" s="1218"/>
      <c r="AX122" s="1218"/>
      <c r="AY122" s="1219"/>
    </row>
    <row r="123" spans="1:51" s="171" customFormat="1" ht="13.5" customHeight="1">
      <c r="A123" s="170"/>
      <c r="B123" s="326" t="s">
        <v>100</v>
      </c>
      <c r="C123" s="1128" t="s">
        <v>101</v>
      </c>
      <c r="D123" s="1129"/>
      <c r="E123" s="1129"/>
      <c r="F123" s="1129"/>
      <c r="G123" s="1129"/>
      <c r="H123" s="1129"/>
      <c r="I123" s="1129"/>
      <c r="J123" s="1129"/>
      <c r="K123" s="1129"/>
      <c r="L123" s="1129"/>
      <c r="M123" s="1129"/>
      <c r="N123" s="1129"/>
      <c r="O123" s="1129"/>
      <c r="P123" s="1129"/>
      <c r="Q123" s="1129"/>
      <c r="R123" s="1129"/>
      <c r="S123" s="1129"/>
      <c r="T123" s="1129"/>
      <c r="U123" s="1129"/>
      <c r="V123" s="1129"/>
      <c r="W123" s="1129"/>
      <c r="X123" s="1129"/>
      <c r="Y123" s="1129"/>
      <c r="Z123" s="1129"/>
      <c r="AA123" s="1129"/>
      <c r="AB123" s="1129"/>
      <c r="AC123" s="1129"/>
      <c r="AD123" s="1129"/>
      <c r="AE123" s="1129"/>
      <c r="AF123" s="1129"/>
      <c r="AG123" s="1129"/>
      <c r="AH123" s="1129"/>
      <c r="AI123" s="1129"/>
      <c r="AJ123" s="1129"/>
      <c r="AK123" s="1130"/>
      <c r="AL123" s="232"/>
    </row>
    <row r="124" spans="1:51" s="171" customFormat="1" ht="8.25" customHeight="1" thickBot="1">
      <c r="A124" s="170"/>
      <c r="B124" s="327"/>
      <c r="C124" s="327"/>
      <c r="D124" s="327"/>
      <c r="E124" s="327"/>
      <c r="F124" s="327"/>
      <c r="G124" s="327"/>
      <c r="H124" s="327"/>
      <c r="I124" s="327"/>
      <c r="J124" s="327"/>
      <c r="K124" s="327"/>
      <c r="L124" s="327"/>
      <c r="M124" s="327"/>
      <c r="N124" s="327"/>
      <c r="O124" s="327"/>
      <c r="P124" s="327"/>
      <c r="Q124" s="327"/>
      <c r="R124" s="327"/>
      <c r="S124" s="327"/>
      <c r="T124" s="327"/>
      <c r="U124" s="327"/>
      <c r="V124" s="327"/>
      <c r="W124" s="327"/>
      <c r="X124" s="327"/>
      <c r="Y124" s="327"/>
      <c r="Z124" s="327"/>
      <c r="AA124" s="327"/>
      <c r="AB124" s="327"/>
      <c r="AC124" s="327"/>
      <c r="AD124" s="327"/>
      <c r="AE124" s="327"/>
      <c r="AF124" s="327"/>
      <c r="AG124" s="327"/>
      <c r="AH124" s="327"/>
      <c r="AI124" s="327"/>
      <c r="AJ124" s="327"/>
      <c r="AK124" s="327"/>
      <c r="AL124" s="170"/>
      <c r="AM124" s="328"/>
    </row>
    <row r="125" spans="1:51" s="171" customFormat="1" ht="27.75" customHeight="1" thickBot="1">
      <c r="A125" s="170"/>
      <c r="B125" s="805" t="s">
        <v>2388</v>
      </c>
      <c r="C125" s="805"/>
      <c r="D125" s="805"/>
      <c r="E125" s="805"/>
      <c r="F125" s="805"/>
      <c r="G125" s="805"/>
      <c r="H125" s="805"/>
      <c r="I125" s="805"/>
      <c r="J125" s="805"/>
      <c r="K125" s="805"/>
      <c r="L125" s="229"/>
      <c r="M125" s="921"/>
      <c r="N125" s="922"/>
      <c r="O125" s="982" t="s">
        <v>2106</v>
      </c>
      <c r="P125" s="983"/>
      <c r="Q125" s="983"/>
      <c r="R125" s="983"/>
      <c r="S125" s="983"/>
      <c r="T125" s="983"/>
      <c r="U125" s="983"/>
      <c r="V125" s="983"/>
      <c r="W125" s="983"/>
      <c r="X125" s="983"/>
      <c r="Y125" s="983"/>
      <c r="Z125" s="983"/>
      <c r="AA125" s="983"/>
      <c r="AB125" s="983"/>
      <c r="AC125" s="983"/>
      <c r="AD125" s="983"/>
      <c r="AE125" s="983"/>
      <c r="AF125" s="983"/>
      <c r="AG125" s="983"/>
      <c r="AH125" s="983"/>
      <c r="AI125" s="983"/>
      <c r="AJ125" s="983"/>
      <c r="AK125" s="188" t="str">
        <f>IF(S118="","",IF(S118="○","",IF(AM119=TRUE,"○","×")))</f>
        <v/>
      </c>
      <c r="AL125" s="170"/>
      <c r="AM125" s="781" t="s">
        <v>2251</v>
      </c>
      <c r="AN125" s="790"/>
      <c r="AO125" s="790"/>
      <c r="AP125" s="790"/>
      <c r="AQ125" s="790"/>
      <c r="AR125" s="790"/>
      <c r="AS125" s="790"/>
      <c r="AT125" s="790"/>
      <c r="AU125" s="790"/>
      <c r="AV125" s="790"/>
      <c r="AW125" s="790"/>
      <c r="AX125" s="790"/>
      <c r="AY125" s="791"/>
    </row>
    <row r="126" spans="1:51" s="171" customFormat="1" ht="8.25" customHeight="1">
      <c r="A126" s="170"/>
      <c r="B126" s="235"/>
      <c r="C126" s="235"/>
      <c r="D126" s="235"/>
      <c r="E126" s="235"/>
      <c r="F126" s="235"/>
      <c r="G126" s="235"/>
      <c r="H126" s="235"/>
      <c r="I126" s="235"/>
      <c r="J126" s="235"/>
      <c r="K126" s="235"/>
      <c r="L126" s="235"/>
      <c r="M126" s="235"/>
      <c r="N126" s="235"/>
      <c r="O126" s="235"/>
      <c r="P126" s="235"/>
      <c r="Q126" s="235"/>
      <c r="R126" s="235"/>
      <c r="S126" s="235"/>
      <c r="T126" s="235"/>
      <c r="U126" s="235"/>
      <c r="V126" s="235"/>
      <c r="W126" s="235"/>
      <c r="X126" s="235"/>
      <c r="Y126" s="235"/>
      <c r="Z126" s="235"/>
      <c r="AA126" s="235"/>
      <c r="AB126" s="235"/>
      <c r="AC126" s="235"/>
      <c r="AD126" s="235"/>
      <c r="AE126" s="235"/>
      <c r="AF126" s="235"/>
      <c r="AG126" s="235"/>
      <c r="AH126" s="235"/>
      <c r="AI126" s="235"/>
      <c r="AJ126" s="235"/>
      <c r="AK126" s="235"/>
      <c r="AL126" s="170"/>
      <c r="AM126" s="328"/>
    </row>
    <row r="127" spans="1:51" s="171" customFormat="1" ht="21.75" customHeight="1">
      <c r="A127" s="170"/>
      <c r="B127" s="1043" t="s">
        <v>256</v>
      </c>
      <c r="C127" s="1043"/>
      <c r="D127" s="1043"/>
      <c r="E127" s="1043"/>
      <c r="F127" s="1043"/>
      <c r="G127" s="1043"/>
      <c r="H127" s="1043"/>
      <c r="I127" s="1043"/>
      <c r="J127" s="1043"/>
      <c r="K127" s="1043"/>
      <c r="L127" s="1043"/>
      <c r="M127" s="1043"/>
      <c r="N127" s="1043"/>
      <c r="O127" s="1043"/>
      <c r="P127" s="1043"/>
      <c r="Q127" s="1043"/>
      <c r="R127" s="1043"/>
      <c r="S127" s="1043"/>
      <c r="T127" s="1043"/>
      <c r="U127" s="1043"/>
      <c r="V127" s="1043"/>
      <c r="W127" s="1043"/>
      <c r="X127" s="1043"/>
      <c r="Y127" s="1043"/>
      <c r="Z127" s="1043"/>
      <c r="AA127" s="1043"/>
      <c r="AB127" s="1043"/>
      <c r="AC127" s="1043"/>
      <c r="AD127" s="1043"/>
      <c r="AE127" s="1043"/>
      <c r="AF127" s="1043"/>
      <c r="AG127" s="1043"/>
      <c r="AH127" s="1043"/>
      <c r="AI127" s="1043"/>
      <c r="AJ127" s="1043"/>
      <c r="AK127" s="1043"/>
      <c r="AL127" s="170"/>
      <c r="AM127" s="328"/>
    </row>
    <row r="128" spans="1:51" ht="15.75" customHeight="1" thickBot="1">
      <c r="A128" s="160"/>
      <c r="B128" s="283" t="s">
        <v>2119</v>
      </c>
      <c r="C128" s="160"/>
      <c r="D128" s="236"/>
      <c r="E128" s="236"/>
      <c r="F128" s="236"/>
      <c r="G128" s="236"/>
      <c r="H128" s="236"/>
      <c r="I128" s="236"/>
      <c r="J128" s="236"/>
      <c r="K128" s="236"/>
      <c r="L128" s="236"/>
      <c r="M128" s="236"/>
      <c r="N128" s="236"/>
      <c r="O128" s="236"/>
      <c r="P128" s="236"/>
      <c r="Q128" s="236"/>
      <c r="R128" s="236"/>
      <c r="S128" s="236"/>
      <c r="T128" s="236"/>
      <c r="U128" s="236"/>
      <c r="V128" s="236"/>
      <c r="W128" s="236"/>
      <c r="X128" s="236"/>
      <c r="Y128" s="236"/>
      <c r="Z128" s="236"/>
      <c r="AA128" s="236"/>
      <c r="AB128" s="236"/>
      <c r="AC128" s="236"/>
      <c r="AD128" s="236"/>
      <c r="AE128" s="236"/>
      <c r="AF128" s="236"/>
      <c r="AG128" s="236"/>
      <c r="AH128" s="236"/>
      <c r="AI128" s="236"/>
      <c r="AJ128" s="236"/>
      <c r="AK128" s="160"/>
      <c r="AL128" s="160"/>
      <c r="AX128" s="198"/>
    </row>
    <row r="129" spans="1:52" ht="17.25" customHeight="1" thickBot="1">
      <c r="A129" s="160"/>
      <c r="B129" s="973" t="s">
        <v>2118</v>
      </c>
      <c r="C129" s="974"/>
      <c r="D129" s="974"/>
      <c r="E129" s="974"/>
      <c r="F129" s="974"/>
      <c r="G129" s="974"/>
      <c r="H129" s="974"/>
      <c r="I129" s="974"/>
      <c r="J129" s="974"/>
      <c r="K129" s="974"/>
      <c r="L129" s="974"/>
      <c r="M129" s="974"/>
      <c r="N129" s="974"/>
      <c r="O129" s="974"/>
      <c r="P129" s="974"/>
      <c r="Q129" s="975"/>
      <c r="R129" s="329" t="s">
        <v>249</v>
      </c>
      <c r="S129" s="330" t="str">
        <f>'別紙様式2-2（４・５月分）'!AL11</f>
        <v/>
      </c>
      <c r="T129" s="784" t="s">
        <v>2393</v>
      </c>
      <c r="U129" s="785"/>
      <c r="V129" s="785"/>
      <c r="W129" s="785"/>
      <c r="X129" s="785"/>
      <c r="Y129" s="785"/>
      <c r="Z129" s="785"/>
      <c r="AA129" s="785"/>
      <c r="AB129" s="785"/>
      <c r="AC129" s="785"/>
      <c r="AD129" s="785"/>
      <c r="AE129" s="785"/>
      <c r="AF129" s="785"/>
      <c r="AG129" s="785"/>
      <c r="AH129" s="785"/>
      <c r="AI129" s="785"/>
      <c r="AJ129" s="785"/>
      <c r="AK129" s="786"/>
      <c r="AL129" s="160"/>
      <c r="AM129" s="331" t="str">
        <f>IF(OR(S129="×",S130="×",S131="×"),"×","")</f>
        <v/>
      </c>
      <c r="AX129" s="198"/>
    </row>
    <row r="130" spans="1:52" ht="17.25" customHeight="1" thickBot="1">
      <c r="A130" s="160"/>
      <c r="B130" s="976" t="s">
        <v>2391</v>
      </c>
      <c r="C130" s="977"/>
      <c r="D130" s="977"/>
      <c r="E130" s="977"/>
      <c r="F130" s="977"/>
      <c r="G130" s="977"/>
      <c r="H130" s="977"/>
      <c r="I130" s="977"/>
      <c r="J130" s="977"/>
      <c r="K130" s="977"/>
      <c r="L130" s="977"/>
      <c r="M130" s="977"/>
      <c r="N130" s="977"/>
      <c r="O130" s="977"/>
      <c r="P130" s="977"/>
      <c r="Q130" s="978"/>
      <c r="R130" s="329" t="s">
        <v>249</v>
      </c>
      <c r="S130" s="330" t="str">
        <f>'別紙様式2-3（６月以降分）'!AR11</f>
        <v/>
      </c>
      <c r="T130" s="784" t="s">
        <v>2394</v>
      </c>
      <c r="U130" s="785"/>
      <c r="V130" s="785"/>
      <c r="W130" s="785"/>
      <c r="X130" s="785"/>
      <c r="Y130" s="785"/>
      <c r="Z130" s="785"/>
      <c r="AA130" s="785"/>
      <c r="AB130" s="785"/>
      <c r="AC130" s="785"/>
      <c r="AD130" s="785"/>
      <c r="AE130" s="785"/>
      <c r="AF130" s="785"/>
      <c r="AG130" s="785"/>
      <c r="AH130" s="785"/>
      <c r="AI130" s="785"/>
      <c r="AJ130" s="785"/>
      <c r="AK130" s="786"/>
      <c r="AL130" s="160"/>
      <c r="AM130" s="332"/>
      <c r="AX130" s="198"/>
    </row>
    <row r="131" spans="1:52" ht="17.25" customHeight="1" thickBot="1">
      <c r="A131" s="160"/>
      <c r="B131" s="976" t="s">
        <v>2392</v>
      </c>
      <c r="C131" s="977"/>
      <c r="D131" s="977"/>
      <c r="E131" s="977"/>
      <c r="F131" s="977"/>
      <c r="G131" s="977"/>
      <c r="H131" s="977"/>
      <c r="I131" s="977"/>
      <c r="J131" s="977"/>
      <c r="K131" s="977"/>
      <c r="L131" s="977"/>
      <c r="M131" s="977"/>
      <c r="N131" s="977"/>
      <c r="O131" s="977"/>
      <c r="P131" s="977"/>
      <c r="Q131" s="978"/>
      <c r="R131" s="329" t="s">
        <v>249</v>
      </c>
      <c r="S131" s="330" t="str">
        <f>'別紙様式2-4（年度内の区分変更がある場合に記入）'!AR11</f>
        <v/>
      </c>
      <c r="T131" s="784" t="s">
        <v>2395</v>
      </c>
      <c r="U131" s="785"/>
      <c r="V131" s="785"/>
      <c r="W131" s="785"/>
      <c r="X131" s="785"/>
      <c r="Y131" s="785"/>
      <c r="Z131" s="785"/>
      <c r="AA131" s="785"/>
      <c r="AB131" s="785"/>
      <c r="AC131" s="785"/>
      <c r="AD131" s="785"/>
      <c r="AE131" s="785"/>
      <c r="AF131" s="785"/>
      <c r="AG131" s="785"/>
      <c r="AH131" s="785"/>
      <c r="AI131" s="785"/>
      <c r="AJ131" s="785"/>
      <c r="AK131" s="786"/>
      <c r="AL131" s="160"/>
      <c r="AW131" s="198"/>
    </row>
    <row r="132" spans="1:52" ht="6" customHeight="1" thickBot="1">
      <c r="A132" s="160"/>
      <c r="B132" s="283"/>
      <c r="C132" s="160"/>
      <c r="D132" s="236"/>
      <c r="E132" s="236"/>
      <c r="F132" s="236"/>
      <c r="G132" s="236"/>
      <c r="H132" s="236"/>
      <c r="I132" s="236"/>
      <c r="J132" s="236"/>
      <c r="K132" s="236"/>
      <c r="L132" s="236"/>
      <c r="M132" s="236"/>
      <c r="N132" s="236"/>
      <c r="O132" s="236"/>
      <c r="P132" s="236"/>
      <c r="Q132" s="236"/>
      <c r="R132" s="236"/>
      <c r="S132" s="236"/>
      <c r="T132" s="236"/>
      <c r="U132" s="236"/>
      <c r="V132" s="236"/>
      <c r="W132" s="236"/>
      <c r="X132" s="236"/>
      <c r="Y132" s="236"/>
      <c r="Z132" s="236"/>
      <c r="AA132" s="236"/>
      <c r="AB132" s="236"/>
      <c r="AC132" s="236"/>
      <c r="AD132" s="236"/>
      <c r="AE132" s="236"/>
      <c r="AF132" s="236"/>
      <c r="AG132" s="236"/>
      <c r="AH132" s="236"/>
      <c r="AI132" s="236"/>
      <c r="AJ132" s="236"/>
      <c r="AK132" s="160"/>
      <c r="AL132" s="160"/>
      <c r="AM132" s="332"/>
      <c r="AX132" s="198"/>
    </row>
    <row r="133" spans="1:52" ht="14.25" thickBot="1">
      <c r="A133" s="160"/>
      <c r="B133" s="333" t="s">
        <v>2115</v>
      </c>
      <c r="D133" s="334"/>
      <c r="E133" s="334"/>
      <c r="F133" s="334"/>
      <c r="G133" s="334"/>
      <c r="H133" s="334"/>
      <c r="I133" s="334"/>
      <c r="J133" s="334"/>
      <c r="K133" s="334"/>
      <c r="L133" s="334"/>
      <c r="M133" s="334"/>
      <c r="N133" s="334"/>
      <c r="O133" s="334"/>
      <c r="P133" s="334"/>
      <c r="Q133" s="334"/>
      <c r="R133" s="334"/>
      <c r="S133" s="334"/>
      <c r="T133" s="334"/>
      <c r="U133" s="334"/>
      <c r="V133" s="236"/>
      <c r="W133" s="236"/>
      <c r="X133" s="236"/>
      <c r="Y133" s="236"/>
      <c r="Z133" s="236"/>
      <c r="AA133" s="236"/>
      <c r="AB133" s="236"/>
      <c r="AC133" s="236"/>
      <c r="AD133" s="236"/>
      <c r="AE133" s="236"/>
      <c r="AF133" s="236"/>
      <c r="AG133" s="236"/>
      <c r="AH133" s="236"/>
      <c r="AI133" s="236"/>
      <c r="AJ133" s="236"/>
      <c r="AK133" s="188" t="str">
        <f>IF(AM129="","",IF(AM129="○","",IF(OR(AM135=TRUE,AM136=TRUE,AM137=TRUE,AND(AM138=TRUE,F138&lt;&gt;"")),"○","×")))</f>
        <v/>
      </c>
      <c r="AL133" s="160"/>
      <c r="AM133" s="781" t="s">
        <v>2398</v>
      </c>
      <c r="AN133" s="790"/>
      <c r="AO133" s="790"/>
      <c r="AP133" s="790"/>
      <c r="AQ133" s="790"/>
      <c r="AR133" s="790"/>
      <c r="AS133" s="790"/>
      <c r="AT133" s="790"/>
      <c r="AU133" s="790"/>
      <c r="AV133" s="790"/>
      <c r="AW133" s="790"/>
      <c r="AX133" s="790"/>
      <c r="AY133" s="791"/>
    </row>
    <row r="134" spans="1:52" s="171" customFormat="1" ht="14.25" customHeight="1">
      <c r="A134" s="170"/>
      <c r="B134" s="335" t="s">
        <v>2107</v>
      </c>
      <c r="C134" s="336"/>
      <c r="D134" s="337"/>
      <c r="E134" s="338"/>
      <c r="F134" s="339"/>
      <c r="G134" s="339"/>
      <c r="H134" s="339"/>
      <c r="I134" s="339"/>
      <c r="J134" s="339"/>
      <c r="K134" s="339"/>
      <c r="L134" s="339"/>
      <c r="M134" s="339"/>
      <c r="N134" s="339"/>
      <c r="O134" s="339"/>
      <c r="P134" s="339"/>
      <c r="Q134" s="339"/>
      <c r="R134" s="339"/>
      <c r="S134" s="339"/>
      <c r="T134" s="339"/>
      <c r="U134" s="339"/>
      <c r="V134" s="339"/>
      <c r="W134" s="339"/>
      <c r="X134" s="339"/>
      <c r="Y134" s="339"/>
      <c r="Z134" s="339"/>
      <c r="AA134" s="339"/>
      <c r="AB134" s="339"/>
      <c r="AC134" s="339"/>
      <c r="AD134" s="339"/>
      <c r="AE134" s="339"/>
      <c r="AF134" s="339"/>
      <c r="AG134" s="339"/>
      <c r="AH134" s="339"/>
      <c r="AI134" s="339"/>
      <c r="AJ134" s="339"/>
      <c r="AK134" s="340"/>
      <c r="AL134" s="170"/>
      <c r="AN134" s="341"/>
      <c r="AO134" s="341"/>
      <c r="AP134" s="341"/>
      <c r="AQ134" s="341"/>
      <c r="AR134" s="341"/>
      <c r="AS134" s="341"/>
      <c r="AT134" s="341"/>
      <c r="AU134" s="341"/>
      <c r="AV134" s="342"/>
      <c r="AW134" s="343"/>
    </row>
    <row r="135" spans="1:52" s="171" customFormat="1" ht="16.5" customHeight="1">
      <c r="A135" s="170"/>
      <c r="B135" s="218"/>
      <c r="C135" s="344"/>
      <c r="D135" s="212" t="s">
        <v>143</v>
      </c>
      <c r="E135" s="179"/>
      <c r="F135" s="179"/>
      <c r="G135" s="179"/>
      <c r="H135" s="179"/>
      <c r="I135" s="179"/>
      <c r="J135" s="179"/>
      <c r="K135" s="179"/>
      <c r="L135" s="179"/>
      <c r="M135" s="179"/>
      <c r="N135" s="179"/>
      <c r="O135" s="179"/>
      <c r="P135" s="179"/>
      <c r="Q135" s="179"/>
      <c r="R135" s="179"/>
      <c r="S135" s="179"/>
      <c r="T135" s="179"/>
      <c r="U135" s="179"/>
      <c r="V135" s="179"/>
      <c r="W135" s="179"/>
      <c r="X135" s="179"/>
      <c r="Y135" s="179"/>
      <c r="Z135" s="179"/>
      <c r="AA135" s="179"/>
      <c r="AB135" s="179"/>
      <c r="AC135" s="179"/>
      <c r="AD135" s="179"/>
      <c r="AE135" s="179"/>
      <c r="AF135" s="179"/>
      <c r="AG135" s="179"/>
      <c r="AH135" s="179"/>
      <c r="AI135" s="227"/>
      <c r="AJ135" s="170"/>
      <c r="AK135" s="228"/>
      <c r="AL135" s="170"/>
      <c r="AM135" s="158" t="b">
        <v>0</v>
      </c>
      <c r="AN135" s="341"/>
      <c r="AO135" s="341"/>
      <c r="AP135" s="341"/>
      <c r="AQ135" s="341"/>
      <c r="AR135" s="341"/>
      <c r="AS135" s="341"/>
      <c r="AT135" s="341"/>
      <c r="AU135" s="342"/>
      <c r="AV135" s="343"/>
    </row>
    <row r="136" spans="1:52" s="171" customFormat="1" ht="16.5" customHeight="1">
      <c r="A136" s="170"/>
      <c r="B136" s="218"/>
      <c r="C136" s="345"/>
      <c r="D136" s="212" t="s">
        <v>144</v>
      </c>
      <c r="E136" s="346"/>
      <c r="F136" s="346"/>
      <c r="G136" s="346"/>
      <c r="H136" s="346"/>
      <c r="I136" s="346"/>
      <c r="J136" s="346"/>
      <c r="K136" s="346"/>
      <c r="L136" s="346"/>
      <c r="M136" s="346"/>
      <c r="N136" s="346"/>
      <c r="O136" s="346"/>
      <c r="P136" s="346"/>
      <c r="Q136" s="346"/>
      <c r="R136" s="346"/>
      <c r="S136" s="346"/>
      <c r="T136" s="179"/>
      <c r="U136" s="179"/>
      <c r="V136" s="179"/>
      <c r="W136" s="179"/>
      <c r="X136" s="179"/>
      <c r="Y136" s="179"/>
      <c r="Z136" s="179"/>
      <c r="AA136" s="179"/>
      <c r="AB136" s="179"/>
      <c r="AC136" s="179"/>
      <c r="AD136" s="179"/>
      <c r="AE136" s="179"/>
      <c r="AF136" s="179"/>
      <c r="AG136" s="179"/>
      <c r="AH136" s="179"/>
      <c r="AI136" s="227"/>
      <c r="AJ136" s="170"/>
      <c r="AK136" s="228"/>
      <c r="AL136" s="170"/>
      <c r="AM136" s="158" t="b">
        <v>0</v>
      </c>
      <c r="AN136" s="341"/>
      <c r="AO136" s="341"/>
      <c r="AP136" s="341"/>
      <c r="AQ136" s="341"/>
      <c r="AR136" s="341"/>
      <c r="AS136" s="341"/>
      <c r="AT136" s="341"/>
      <c r="AU136" s="342"/>
      <c r="AV136" s="343"/>
    </row>
    <row r="137" spans="1:52" s="171" customFormat="1" ht="25.5" customHeight="1" thickBot="1">
      <c r="A137" s="170"/>
      <c r="B137" s="218"/>
      <c r="C137" s="345"/>
      <c r="D137" s="953" t="s">
        <v>104</v>
      </c>
      <c r="E137" s="953"/>
      <c r="F137" s="953"/>
      <c r="G137" s="953"/>
      <c r="H137" s="953"/>
      <c r="I137" s="953"/>
      <c r="J137" s="953"/>
      <c r="K137" s="953"/>
      <c r="L137" s="953"/>
      <c r="M137" s="953"/>
      <c r="N137" s="953"/>
      <c r="O137" s="953"/>
      <c r="P137" s="953"/>
      <c r="Q137" s="953"/>
      <c r="R137" s="953"/>
      <c r="S137" s="953"/>
      <c r="T137" s="953"/>
      <c r="U137" s="953"/>
      <c r="V137" s="953"/>
      <c r="W137" s="953"/>
      <c r="X137" s="953"/>
      <c r="Y137" s="953"/>
      <c r="Z137" s="953"/>
      <c r="AA137" s="953"/>
      <c r="AB137" s="953"/>
      <c r="AC137" s="953"/>
      <c r="AD137" s="953"/>
      <c r="AE137" s="953"/>
      <c r="AF137" s="953"/>
      <c r="AG137" s="953"/>
      <c r="AH137" s="953"/>
      <c r="AI137" s="953"/>
      <c r="AJ137" s="170"/>
      <c r="AK137" s="228"/>
      <c r="AL137" s="347"/>
      <c r="AM137" s="158" t="b">
        <v>0</v>
      </c>
      <c r="AN137" s="342"/>
      <c r="AO137" s="342"/>
      <c r="AP137" s="342"/>
      <c r="AS137" s="343"/>
      <c r="AT137" s="343"/>
    </row>
    <row r="138" spans="1:52" s="171" customFormat="1" ht="18" customHeight="1" thickBot="1">
      <c r="A138" s="170"/>
      <c r="B138" s="348"/>
      <c r="C138" s="349"/>
      <c r="D138" s="350" t="s">
        <v>37</v>
      </c>
      <c r="E138" s="351"/>
      <c r="F138" s="972"/>
      <c r="G138" s="972"/>
      <c r="H138" s="972"/>
      <c r="I138" s="972"/>
      <c r="J138" s="972"/>
      <c r="K138" s="972"/>
      <c r="L138" s="972"/>
      <c r="M138" s="972"/>
      <c r="N138" s="972"/>
      <c r="O138" s="972"/>
      <c r="P138" s="972"/>
      <c r="Q138" s="972"/>
      <c r="R138" s="972"/>
      <c r="S138" s="972"/>
      <c r="T138" s="972"/>
      <c r="U138" s="972"/>
      <c r="V138" s="972"/>
      <c r="W138" s="972"/>
      <c r="X138" s="972"/>
      <c r="Y138" s="972"/>
      <c r="Z138" s="972"/>
      <c r="AA138" s="972"/>
      <c r="AB138" s="972"/>
      <c r="AC138" s="972"/>
      <c r="AD138" s="972"/>
      <c r="AE138" s="972"/>
      <c r="AF138" s="972"/>
      <c r="AG138" s="972"/>
      <c r="AH138" s="972"/>
      <c r="AI138" s="972"/>
      <c r="AJ138" s="972"/>
      <c r="AK138" s="352" t="s">
        <v>25</v>
      </c>
      <c r="AL138" s="170"/>
      <c r="AM138" s="158" t="b">
        <v>0</v>
      </c>
      <c r="AN138" s="802" t="s">
        <v>2389</v>
      </c>
      <c r="AO138" s="803"/>
      <c r="AP138" s="803"/>
      <c r="AQ138" s="803"/>
      <c r="AR138" s="803"/>
      <c r="AS138" s="803"/>
      <c r="AT138" s="803"/>
      <c r="AU138" s="803"/>
      <c r="AV138" s="803"/>
      <c r="AW138" s="803"/>
      <c r="AX138" s="803"/>
      <c r="AY138" s="804"/>
    </row>
    <row r="139" spans="1:52" ht="7.5" customHeight="1">
      <c r="A139" s="160"/>
      <c r="B139" s="353"/>
      <c r="C139" s="354"/>
      <c r="D139" s="354"/>
      <c r="E139" s="354"/>
      <c r="F139" s="354"/>
      <c r="G139" s="354"/>
      <c r="H139" s="354"/>
      <c r="I139" s="354"/>
      <c r="J139" s="354"/>
      <c r="K139" s="354"/>
      <c r="L139" s="354"/>
      <c r="M139" s="354"/>
      <c r="N139" s="354"/>
      <c r="O139" s="354"/>
      <c r="P139" s="354"/>
      <c r="Q139" s="354"/>
      <c r="R139" s="354"/>
      <c r="S139" s="354"/>
      <c r="T139" s="354"/>
      <c r="U139" s="354"/>
      <c r="V139" s="354"/>
      <c r="W139" s="354"/>
      <c r="X139" s="354"/>
      <c r="Y139" s="354"/>
      <c r="Z139" s="354"/>
      <c r="AA139" s="354"/>
      <c r="AB139" s="354"/>
      <c r="AC139" s="354"/>
      <c r="AD139" s="354"/>
      <c r="AE139" s="354"/>
      <c r="AF139" s="354"/>
      <c r="AG139" s="354"/>
      <c r="AH139" s="354"/>
      <c r="AI139" s="354"/>
      <c r="AJ139" s="354"/>
      <c r="AK139" s="354"/>
      <c r="AL139" s="160"/>
      <c r="AZ139" s="171"/>
    </row>
    <row r="140" spans="1:52" ht="18" customHeight="1">
      <c r="A140" s="160"/>
      <c r="B140" s="1043" t="s">
        <v>2124</v>
      </c>
      <c r="C140" s="1043"/>
      <c r="D140" s="1043"/>
      <c r="E140" s="1043"/>
      <c r="F140" s="1043"/>
      <c r="G140" s="1043"/>
      <c r="H140" s="1043"/>
      <c r="I140" s="1043"/>
      <c r="J140" s="1043"/>
      <c r="K140" s="1043"/>
      <c r="L140" s="1043"/>
      <c r="M140" s="1043"/>
      <c r="N140" s="1043"/>
      <c r="O140" s="1043"/>
      <c r="P140" s="1043"/>
      <c r="Q140" s="1043"/>
      <c r="R140" s="1043"/>
      <c r="S140" s="1043"/>
      <c r="T140" s="1043"/>
      <c r="U140" s="1043"/>
      <c r="V140" s="1043"/>
      <c r="W140" s="1043"/>
      <c r="X140" s="1043"/>
      <c r="Y140" s="1043"/>
      <c r="Z140" s="1043"/>
      <c r="AA140" s="1043"/>
      <c r="AB140" s="1043"/>
      <c r="AC140" s="1043"/>
      <c r="AD140" s="1043"/>
      <c r="AE140" s="1043"/>
      <c r="AF140" s="1043"/>
      <c r="AG140" s="1043"/>
      <c r="AH140" s="1043"/>
      <c r="AI140" s="1043"/>
      <c r="AJ140" s="1043"/>
      <c r="AK140" s="1043"/>
      <c r="AL140" s="160"/>
      <c r="AM140" s="355" t="str">
        <f>IF(AND('別紙様式2-2（４・５月分）'!AS8="特定加算Ⅰなし",'別紙様式2-3（６月以降分）'!BI6="旧特定加算Ⅰ相当なし",'別紙様式2-4（年度内の区分変更がある場合に記入）'!BC7="旧特定加算Ⅰ相当なし"),"記入不要","要記入")</f>
        <v>記入不要</v>
      </c>
    </row>
    <row r="141" spans="1:52" ht="14.25" thickBot="1">
      <c r="A141" s="160"/>
      <c r="B141" s="283" t="s">
        <v>2338</v>
      </c>
      <c r="C141" s="160"/>
      <c r="D141" s="236"/>
      <c r="E141" s="236"/>
      <c r="F141" s="236"/>
      <c r="G141" s="236"/>
      <c r="H141" s="236"/>
      <c r="I141" s="236"/>
      <c r="J141" s="236"/>
      <c r="K141" s="236"/>
      <c r="L141" s="236"/>
      <c r="M141" s="236"/>
      <c r="N141" s="236"/>
      <c r="O141" s="236"/>
      <c r="P141" s="236"/>
      <c r="Q141" s="236"/>
      <c r="R141" s="236"/>
      <c r="S141" s="236"/>
      <c r="T141" s="236"/>
      <c r="U141" s="236"/>
      <c r="V141" s="236"/>
      <c r="W141" s="236"/>
      <c r="X141" s="236"/>
      <c r="Y141" s="236"/>
      <c r="Z141" s="236"/>
      <c r="AA141" s="236"/>
      <c r="AB141" s="236"/>
      <c r="AC141" s="236"/>
      <c r="AD141" s="236"/>
      <c r="AE141" s="236"/>
      <c r="AF141" s="236"/>
      <c r="AG141" s="236"/>
      <c r="AH141" s="236"/>
      <c r="AI141" s="236"/>
      <c r="AJ141" s="236"/>
      <c r="AK141" s="236"/>
      <c r="AL141" s="160"/>
    </row>
    <row r="142" spans="1:52" ht="16.5" customHeight="1" thickBot="1">
      <c r="A142" s="160"/>
      <c r="B142" s="1186" t="s">
        <v>2120</v>
      </c>
      <c r="C142" s="1182"/>
      <c r="D142" s="1182"/>
      <c r="E142" s="1182"/>
      <c r="F142" s="1182"/>
      <c r="G142" s="1182"/>
      <c r="H142" s="1182"/>
      <c r="I142" s="1182"/>
      <c r="J142" s="1182"/>
      <c r="K142" s="1182"/>
      <c r="L142" s="1182"/>
      <c r="M142" s="1182"/>
      <c r="N142" s="1182"/>
      <c r="O142" s="1182"/>
      <c r="P142" s="1182"/>
      <c r="Q142" s="1183"/>
      <c r="R142" s="329" t="s">
        <v>249</v>
      </c>
      <c r="S142" s="356" t="str">
        <f>IF('別紙様式2-2（４・５月分）'!AM11="未入力あり","×",'別紙様式2-2（４・５月分）'!AM11)</f>
        <v/>
      </c>
      <c r="T142" s="784" t="s">
        <v>2122</v>
      </c>
      <c r="U142" s="785"/>
      <c r="V142" s="785"/>
      <c r="W142" s="785"/>
      <c r="X142" s="785"/>
      <c r="Y142" s="785"/>
      <c r="Z142" s="785"/>
      <c r="AA142" s="785"/>
      <c r="AB142" s="785"/>
      <c r="AC142" s="785"/>
      <c r="AD142" s="785"/>
      <c r="AE142" s="785"/>
      <c r="AF142" s="785"/>
      <c r="AG142" s="785"/>
      <c r="AH142" s="785"/>
      <c r="AI142" s="785"/>
      <c r="AJ142" s="785"/>
      <c r="AK142" s="786"/>
      <c r="AL142" s="160"/>
      <c r="AM142" s="332"/>
    </row>
    <row r="143" spans="1:52" ht="16.5" customHeight="1" thickBot="1">
      <c r="A143" s="160"/>
      <c r="B143" s="815" t="s">
        <v>2121</v>
      </c>
      <c r="C143" s="816"/>
      <c r="D143" s="816"/>
      <c r="E143" s="816"/>
      <c r="F143" s="816"/>
      <c r="G143" s="816"/>
      <c r="H143" s="816"/>
      <c r="I143" s="816"/>
      <c r="J143" s="816"/>
      <c r="K143" s="816"/>
      <c r="L143" s="816"/>
      <c r="M143" s="816"/>
      <c r="N143" s="816"/>
      <c r="O143" s="816"/>
      <c r="P143" s="816"/>
      <c r="Q143" s="817"/>
      <c r="R143" s="329" t="s">
        <v>249</v>
      </c>
      <c r="S143" s="357" t="str">
        <f>IF('別紙様式2-3（６月以降分）'!AS11="未入力あり","×",'別紙様式2-3（６月以降分）'!AS11)</f>
        <v/>
      </c>
      <c r="T143" s="787" t="s">
        <v>2123</v>
      </c>
      <c r="U143" s="788"/>
      <c r="V143" s="788"/>
      <c r="W143" s="788"/>
      <c r="X143" s="788"/>
      <c r="Y143" s="788"/>
      <c r="Z143" s="788"/>
      <c r="AA143" s="788"/>
      <c r="AB143" s="788"/>
      <c r="AC143" s="788"/>
      <c r="AD143" s="788"/>
      <c r="AE143" s="788"/>
      <c r="AF143" s="788"/>
      <c r="AG143" s="788"/>
      <c r="AH143" s="788"/>
      <c r="AI143" s="788"/>
      <c r="AJ143" s="788"/>
      <c r="AK143" s="789"/>
      <c r="AL143" s="160"/>
      <c r="AM143" s="332"/>
    </row>
    <row r="144" spans="1:52" ht="16.5" customHeight="1" thickBot="1">
      <c r="A144" s="160"/>
      <c r="B144" s="815" t="s">
        <v>2318</v>
      </c>
      <c r="C144" s="816"/>
      <c r="D144" s="816"/>
      <c r="E144" s="816"/>
      <c r="F144" s="816"/>
      <c r="G144" s="816"/>
      <c r="H144" s="816"/>
      <c r="I144" s="816"/>
      <c r="J144" s="816"/>
      <c r="K144" s="816"/>
      <c r="L144" s="816"/>
      <c r="M144" s="816"/>
      <c r="N144" s="816"/>
      <c r="O144" s="816"/>
      <c r="P144" s="816"/>
      <c r="Q144" s="817"/>
      <c r="R144" s="329" t="s">
        <v>249</v>
      </c>
      <c r="S144" s="357" t="str">
        <f>IF('別紙様式2-4（年度内の区分変更がある場合に記入）'!AS11="未入力あり","×",'別紙様式2-4（年度内の区分変更がある場合に記入）'!AS11)</f>
        <v/>
      </c>
      <c r="T144" s="787" t="s">
        <v>2319</v>
      </c>
      <c r="U144" s="788"/>
      <c r="V144" s="788"/>
      <c r="W144" s="788"/>
      <c r="X144" s="788"/>
      <c r="Y144" s="788"/>
      <c r="Z144" s="788"/>
      <c r="AA144" s="788"/>
      <c r="AB144" s="788"/>
      <c r="AC144" s="788"/>
      <c r="AD144" s="788"/>
      <c r="AE144" s="788"/>
      <c r="AF144" s="788"/>
      <c r="AG144" s="788"/>
      <c r="AH144" s="788"/>
      <c r="AI144" s="788"/>
      <c r="AJ144" s="788"/>
      <c r="AK144" s="789"/>
      <c r="AL144" s="160"/>
      <c r="AM144" s="332"/>
    </row>
    <row r="145" spans="1:51" s="171" customFormat="1" ht="9" customHeight="1">
      <c r="A145" s="170"/>
      <c r="B145" s="229"/>
      <c r="C145" s="229"/>
      <c r="D145" s="229"/>
      <c r="E145" s="229"/>
      <c r="F145" s="226"/>
      <c r="G145" s="227"/>
      <c r="H145" s="227"/>
      <c r="I145" s="227"/>
      <c r="J145" s="227"/>
      <c r="K145" s="227"/>
      <c r="L145" s="227"/>
      <c r="M145" s="270"/>
      <c r="N145" s="270"/>
      <c r="O145" s="270"/>
      <c r="P145" s="270"/>
      <c r="Q145" s="270"/>
      <c r="R145" s="270"/>
      <c r="S145" s="270"/>
      <c r="T145" s="270"/>
      <c r="U145" s="227"/>
      <c r="V145" s="227"/>
      <c r="W145" s="239"/>
      <c r="X145" s="227"/>
      <c r="Y145" s="227"/>
      <c r="Z145" s="227"/>
      <c r="AA145" s="270"/>
      <c r="AB145" s="227"/>
      <c r="AC145" s="227"/>
      <c r="AD145" s="227"/>
      <c r="AE145" s="227"/>
      <c r="AF145" s="227"/>
      <c r="AG145" s="227"/>
      <c r="AH145" s="227"/>
      <c r="AI145" s="227"/>
      <c r="AJ145" s="227"/>
      <c r="AK145" s="227"/>
      <c r="AL145" s="170"/>
    </row>
    <row r="146" spans="1:51" s="273" customFormat="1" ht="18" customHeight="1" thickBot="1">
      <c r="A146" s="271"/>
      <c r="B146" s="1150" t="s">
        <v>258</v>
      </c>
      <c r="C146" s="1150"/>
      <c r="D146" s="1150"/>
      <c r="E146" s="1150"/>
      <c r="F146" s="1150"/>
      <c r="G146" s="1150"/>
      <c r="H146" s="1150"/>
      <c r="I146" s="1150"/>
      <c r="J146" s="1150"/>
      <c r="K146" s="1150"/>
      <c r="L146" s="1150"/>
      <c r="M146" s="1150"/>
      <c r="N146" s="1150"/>
      <c r="O146" s="1150"/>
      <c r="P146" s="1150"/>
      <c r="Q146" s="1150"/>
      <c r="R146" s="1150"/>
      <c r="S146" s="1150"/>
      <c r="T146" s="1150"/>
      <c r="U146" s="1150"/>
      <c r="V146" s="1150"/>
      <c r="W146" s="1150"/>
      <c r="X146" s="1150"/>
      <c r="Y146" s="1150"/>
      <c r="Z146" s="1150"/>
      <c r="AA146" s="1150"/>
      <c r="AB146" s="1150"/>
      <c r="AC146" s="1150"/>
      <c r="AD146" s="1150"/>
      <c r="AE146" s="1150"/>
      <c r="AF146" s="1150"/>
      <c r="AG146" s="1150"/>
      <c r="AH146" s="1150"/>
      <c r="AI146" s="1150"/>
      <c r="AJ146" s="1150"/>
      <c r="AK146" s="1150"/>
      <c r="AL146" s="161"/>
    </row>
    <row r="147" spans="1:51" s="171" customFormat="1" ht="18.75" customHeight="1" thickBot="1">
      <c r="A147" s="170"/>
      <c r="B147" s="233" t="s">
        <v>2242</v>
      </c>
      <c r="C147" s="212"/>
      <c r="D147" s="212"/>
      <c r="E147" s="212"/>
      <c r="F147" s="212"/>
      <c r="G147" s="212"/>
      <c r="H147" s="212"/>
      <c r="I147" s="212"/>
      <c r="J147" s="212"/>
      <c r="K147" s="212"/>
      <c r="L147" s="212"/>
      <c r="M147" s="212"/>
      <c r="N147" s="212"/>
      <c r="O147" s="212"/>
      <c r="P147" s="212"/>
      <c r="Q147" s="212"/>
      <c r="R147" s="212"/>
      <c r="S147" s="212"/>
      <c r="T147" s="212"/>
      <c r="U147" s="212"/>
      <c r="V147" s="170"/>
      <c r="W147" s="212"/>
      <c r="X147" s="212"/>
      <c r="Y147" s="212"/>
      <c r="Z147" s="212"/>
      <c r="AA147" s="212"/>
      <c r="AB147" s="212"/>
      <c r="AC147" s="212"/>
      <c r="AD147" s="212"/>
      <c r="AE147" s="212"/>
      <c r="AF147" s="212"/>
      <c r="AG147" s="212"/>
      <c r="AH147" s="170"/>
      <c r="AI147" s="1147" t="str">
        <f>IF(AND('別紙様式2-2（４・５月分）'!AS7="特定加算なし",'別紙様式2-3（６月以降分）'!BF6="旧特定加算相当なし",'別紙様式2-4（年度内の区分変更がある場合に記入）'!AZ7="旧特定加算相当なし"),"該当","")</f>
        <v>該当</v>
      </c>
      <c r="AJ147" s="1148"/>
      <c r="AK147" s="1149"/>
      <c r="AL147" s="170"/>
    </row>
    <row r="148" spans="1:51" s="171" customFormat="1" ht="28.5" customHeight="1">
      <c r="A148" s="170"/>
      <c r="B148" s="258" t="s">
        <v>249</v>
      </c>
      <c r="C148" s="1035" t="s">
        <v>2126</v>
      </c>
      <c r="D148" s="1035"/>
      <c r="E148" s="1035"/>
      <c r="F148" s="1035"/>
      <c r="G148" s="1035"/>
      <c r="H148" s="1035"/>
      <c r="I148" s="1035"/>
      <c r="J148" s="1035"/>
      <c r="K148" s="1035"/>
      <c r="L148" s="1035"/>
      <c r="M148" s="1035"/>
      <c r="N148" s="1035"/>
      <c r="O148" s="1035"/>
      <c r="P148" s="1035"/>
      <c r="Q148" s="1035"/>
      <c r="R148" s="1035"/>
      <c r="S148" s="1035"/>
      <c r="T148" s="1035"/>
      <c r="U148" s="1035"/>
      <c r="V148" s="1035"/>
      <c r="W148" s="1035"/>
      <c r="X148" s="1035"/>
      <c r="Y148" s="1035"/>
      <c r="Z148" s="1035"/>
      <c r="AA148" s="1035"/>
      <c r="AB148" s="1035"/>
      <c r="AC148" s="1035"/>
      <c r="AD148" s="1035"/>
      <c r="AE148" s="1035"/>
      <c r="AF148" s="1035"/>
      <c r="AG148" s="1035"/>
      <c r="AH148" s="1035"/>
      <c r="AI148" s="1035"/>
      <c r="AJ148" s="1035"/>
      <c r="AK148" s="1035"/>
      <c r="AL148" s="170"/>
    </row>
    <row r="149" spans="1:51" s="171" customFormat="1" ht="3.75" customHeight="1" thickBot="1">
      <c r="A149" s="170"/>
      <c r="B149" s="170"/>
      <c r="C149" s="170"/>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row>
    <row r="150" spans="1:51" s="171" customFormat="1" ht="14.25" customHeight="1" thickBot="1">
      <c r="A150" s="170"/>
      <c r="B150" s="233" t="s">
        <v>2243</v>
      </c>
      <c r="C150" s="239"/>
      <c r="D150" s="239"/>
      <c r="E150" s="239"/>
      <c r="F150" s="239"/>
      <c r="G150" s="239"/>
      <c r="H150" s="239"/>
      <c r="I150" s="239"/>
      <c r="J150" s="239"/>
      <c r="K150" s="239"/>
      <c r="L150" s="239"/>
      <c r="M150" s="239"/>
      <c r="N150" s="239"/>
      <c r="O150" s="239"/>
      <c r="P150" s="239"/>
      <c r="Q150" s="239"/>
      <c r="R150" s="239"/>
      <c r="S150" s="239"/>
      <c r="T150" s="239"/>
      <c r="U150" s="239"/>
      <c r="V150" s="239"/>
      <c r="W150" s="239"/>
      <c r="X150" s="239"/>
      <c r="Y150" s="239"/>
      <c r="Z150" s="239"/>
      <c r="AA150" s="239"/>
      <c r="AB150" s="239"/>
      <c r="AC150" s="239"/>
      <c r="AD150" s="239"/>
      <c r="AE150" s="239"/>
      <c r="AF150" s="239"/>
      <c r="AG150" s="239"/>
      <c r="AH150" s="212"/>
      <c r="AI150" s="979" t="str">
        <f>IF(OR('別紙様式2-2（４・５月分）'!AS7="特定加算あり",'別紙様式2-3（６月以降分）'!BF6="旧特定加算相当あり",'別紙様式2-4（年度内の区分変更がある場合に記入）'!AZ7="旧特定加算相当あり"),"該当","")</f>
        <v/>
      </c>
      <c r="AJ150" s="980"/>
      <c r="AK150" s="981"/>
      <c r="AL150" s="170"/>
    </row>
    <row r="151" spans="1:51" s="171" customFormat="1" ht="39" customHeight="1">
      <c r="A151" s="170"/>
      <c r="B151" s="258" t="s">
        <v>249</v>
      </c>
      <c r="C151" s="1035" t="s">
        <v>2161</v>
      </c>
      <c r="D151" s="1035"/>
      <c r="E151" s="1035"/>
      <c r="F151" s="1035"/>
      <c r="G151" s="1035"/>
      <c r="H151" s="1035"/>
      <c r="I151" s="1035"/>
      <c r="J151" s="1035"/>
      <c r="K151" s="1035"/>
      <c r="L151" s="1035"/>
      <c r="M151" s="1035"/>
      <c r="N151" s="1035"/>
      <c r="O151" s="1035"/>
      <c r="P151" s="1035"/>
      <c r="Q151" s="1035"/>
      <c r="R151" s="1035"/>
      <c r="S151" s="1035"/>
      <c r="T151" s="1035"/>
      <c r="U151" s="1035"/>
      <c r="V151" s="1035"/>
      <c r="W151" s="1035"/>
      <c r="X151" s="1035"/>
      <c r="Y151" s="1035"/>
      <c r="Z151" s="1035"/>
      <c r="AA151" s="1035"/>
      <c r="AB151" s="1035"/>
      <c r="AC151" s="1035"/>
      <c r="AD151" s="1035"/>
      <c r="AE151" s="1035"/>
      <c r="AF151" s="1035"/>
      <c r="AG151" s="1035"/>
      <c r="AH151" s="1035"/>
      <c r="AI151" s="1035"/>
      <c r="AJ151" s="1035"/>
      <c r="AK151" s="1035"/>
      <c r="AL151" s="170"/>
    </row>
    <row r="152" spans="1:51" s="171" customFormat="1" ht="4.5" customHeight="1" thickBot="1">
      <c r="A152" s="170"/>
      <c r="B152" s="358"/>
      <c r="C152" s="358"/>
      <c r="D152" s="358"/>
      <c r="E152" s="358"/>
      <c r="F152" s="358"/>
      <c r="G152" s="358"/>
      <c r="H152" s="358"/>
      <c r="I152" s="358"/>
      <c r="J152" s="358"/>
      <c r="K152" s="358"/>
      <c r="L152" s="358"/>
      <c r="M152" s="358"/>
      <c r="N152" s="358"/>
      <c r="O152" s="358"/>
      <c r="P152" s="358"/>
      <c r="Q152" s="358"/>
      <c r="R152" s="358"/>
      <c r="S152" s="358"/>
      <c r="T152" s="358"/>
      <c r="U152" s="358"/>
      <c r="V152" s="358"/>
      <c r="W152" s="358"/>
      <c r="X152" s="358"/>
      <c r="Y152" s="358"/>
      <c r="Z152" s="358"/>
      <c r="AA152" s="358"/>
      <c r="AB152" s="358"/>
      <c r="AC152" s="358"/>
      <c r="AD152" s="358"/>
      <c r="AE152" s="358"/>
      <c r="AF152" s="358"/>
      <c r="AG152" s="358"/>
      <c r="AH152" s="358"/>
      <c r="AI152" s="358"/>
      <c r="AJ152" s="358"/>
      <c r="AK152" s="358"/>
      <c r="AL152" s="170"/>
      <c r="AM152" s="163"/>
    </row>
    <row r="153" spans="1:51" s="171" customFormat="1" ht="13.5" customHeight="1" thickBot="1">
      <c r="A153" s="170"/>
      <c r="B153" s="934" t="s">
        <v>137</v>
      </c>
      <c r="C153" s="935"/>
      <c r="D153" s="935"/>
      <c r="E153" s="936"/>
      <c r="F153" s="950" t="s">
        <v>32</v>
      </c>
      <c r="G153" s="951"/>
      <c r="H153" s="951"/>
      <c r="I153" s="951"/>
      <c r="J153" s="951"/>
      <c r="K153" s="951"/>
      <c r="L153" s="951"/>
      <c r="M153" s="951"/>
      <c r="N153" s="951"/>
      <c r="O153" s="951"/>
      <c r="P153" s="951"/>
      <c r="Q153" s="951"/>
      <c r="R153" s="951"/>
      <c r="S153" s="951"/>
      <c r="T153" s="951"/>
      <c r="U153" s="951"/>
      <c r="V153" s="951"/>
      <c r="W153" s="951"/>
      <c r="X153" s="951"/>
      <c r="Y153" s="951"/>
      <c r="Z153" s="951"/>
      <c r="AA153" s="951"/>
      <c r="AB153" s="951"/>
      <c r="AC153" s="951"/>
      <c r="AD153" s="951"/>
      <c r="AE153" s="951"/>
      <c r="AF153" s="951"/>
      <c r="AG153" s="951"/>
      <c r="AH153" s="951"/>
      <c r="AI153" s="951"/>
      <c r="AJ153" s="952"/>
      <c r="AK153" s="359" t="str">
        <f>IF(AI150="該当",IF(AND(COUNTIF(AM154:AM157,TRUE)&gt;=1,COUNTIF(AM158:AM161,TRUE)&gt;=1,COUNTIF(AM162:AM165,TRUE)&gt;=1,COUNTIF(AM166:AM169,TRUE)&gt;=1,COUNTIF(AM170:AM173,TRUE)&gt;=1,COUNTIF(AM174:AM177,TRUE)&gt;=1),"○","×"),IF(COUNTIF(AM154:AM177,TRUE)&gt;=1,"○","×"))</f>
        <v>×</v>
      </c>
      <c r="AL153" s="170"/>
      <c r="AM153" s="360" t="s">
        <v>2312</v>
      </c>
      <c r="AN153" s="781" t="s">
        <v>2255</v>
      </c>
      <c r="AO153" s="782"/>
      <c r="AP153" s="782"/>
      <c r="AQ153" s="782"/>
      <c r="AR153" s="782"/>
      <c r="AS153" s="782"/>
      <c r="AT153" s="782"/>
      <c r="AU153" s="782"/>
      <c r="AV153" s="782"/>
      <c r="AW153" s="782"/>
      <c r="AX153" s="782"/>
      <c r="AY153" s="783"/>
    </row>
    <row r="154" spans="1:51" s="171" customFormat="1" ht="14.25" customHeight="1" thickBot="1">
      <c r="A154" s="170"/>
      <c r="B154" s="924" t="s">
        <v>127</v>
      </c>
      <c r="C154" s="925"/>
      <c r="D154" s="925"/>
      <c r="E154" s="926"/>
      <c r="F154" s="361"/>
      <c r="G154" s="937" t="s">
        <v>107</v>
      </c>
      <c r="H154" s="937"/>
      <c r="I154" s="937"/>
      <c r="J154" s="937"/>
      <c r="K154" s="937"/>
      <c r="L154" s="937"/>
      <c r="M154" s="937"/>
      <c r="N154" s="937"/>
      <c r="O154" s="937"/>
      <c r="P154" s="937"/>
      <c r="Q154" s="937"/>
      <c r="R154" s="937"/>
      <c r="S154" s="937"/>
      <c r="T154" s="937"/>
      <c r="U154" s="937"/>
      <c r="V154" s="937"/>
      <c r="W154" s="937"/>
      <c r="X154" s="937"/>
      <c r="Y154" s="937"/>
      <c r="Z154" s="937"/>
      <c r="AA154" s="937"/>
      <c r="AB154" s="937"/>
      <c r="AC154" s="937"/>
      <c r="AD154" s="937"/>
      <c r="AE154" s="937"/>
      <c r="AF154" s="937"/>
      <c r="AG154" s="937"/>
      <c r="AH154" s="937"/>
      <c r="AI154" s="937"/>
      <c r="AJ154" s="937"/>
      <c r="AK154" s="938"/>
      <c r="AL154" s="170"/>
      <c r="AM154" s="158" t="b">
        <v>0</v>
      </c>
    </row>
    <row r="155" spans="1:51" s="171" customFormat="1" ht="13.5" customHeight="1">
      <c r="A155" s="170"/>
      <c r="B155" s="927"/>
      <c r="C155" s="928"/>
      <c r="D155" s="928"/>
      <c r="E155" s="929"/>
      <c r="F155" s="362"/>
      <c r="G155" s="923" t="s">
        <v>108</v>
      </c>
      <c r="H155" s="923"/>
      <c r="I155" s="923"/>
      <c r="J155" s="923"/>
      <c r="K155" s="923"/>
      <c r="L155" s="923"/>
      <c r="M155" s="923"/>
      <c r="N155" s="923"/>
      <c r="O155" s="923"/>
      <c r="P155" s="923"/>
      <c r="Q155" s="923"/>
      <c r="R155" s="923"/>
      <c r="S155" s="923"/>
      <c r="T155" s="923"/>
      <c r="U155" s="923"/>
      <c r="V155" s="923"/>
      <c r="W155" s="923"/>
      <c r="X155" s="923"/>
      <c r="Y155" s="923"/>
      <c r="Z155" s="923"/>
      <c r="AA155" s="923"/>
      <c r="AB155" s="923"/>
      <c r="AC155" s="923"/>
      <c r="AD155" s="923"/>
      <c r="AE155" s="923"/>
      <c r="AF155" s="923"/>
      <c r="AG155" s="923"/>
      <c r="AH155" s="923"/>
      <c r="AI155" s="923"/>
      <c r="AJ155" s="923"/>
      <c r="AK155" s="363"/>
      <c r="AL155" s="170"/>
      <c r="AM155" s="158" t="b">
        <v>0</v>
      </c>
      <c r="AN155" s="793" t="s">
        <v>2256</v>
      </c>
      <c r="AO155" s="794"/>
      <c r="AP155" s="794"/>
      <c r="AQ155" s="794"/>
      <c r="AR155" s="794"/>
      <c r="AS155" s="794"/>
      <c r="AT155" s="794"/>
      <c r="AU155" s="794"/>
      <c r="AV155" s="794"/>
      <c r="AW155" s="794"/>
      <c r="AX155" s="794"/>
      <c r="AY155" s="795"/>
    </row>
    <row r="156" spans="1:51" s="171" customFormat="1" ht="13.5" customHeight="1" thickBot="1">
      <c r="A156" s="170"/>
      <c r="B156" s="927"/>
      <c r="C156" s="928"/>
      <c r="D156" s="928"/>
      <c r="E156" s="929"/>
      <c r="F156" s="362"/>
      <c r="G156" s="923" t="s">
        <v>133</v>
      </c>
      <c r="H156" s="923"/>
      <c r="I156" s="923"/>
      <c r="J156" s="923"/>
      <c r="K156" s="923"/>
      <c r="L156" s="923"/>
      <c r="M156" s="923"/>
      <c r="N156" s="923"/>
      <c r="O156" s="923"/>
      <c r="P156" s="923"/>
      <c r="Q156" s="923"/>
      <c r="R156" s="923"/>
      <c r="S156" s="923"/>
      <c r="T156" s="923"/>
      <c r="U156" s="923"/>
      <c r="V156" s="923"/>
      <c r="W156" s="923"/>
      <c r="X156" s="923"/>
      <c r="Y156" s="923"/>
      <c r="Z156" s="923"/>
      <c r="AA156" s="923"/>
      <c r="AB156" s="923"/>
      <c r="AC156" s="923"/>
      <c r="AD156" s="923"/>
      <c r="AE156" s="923"/>
      <c r="AF156" s="923"/>
      <c r="AG156" s="923"/>
      <c r="AH156" s="923"/>
      <c r="AI156" s="923"/>
      <c r="AJ156" s="923"/>
      <c r="AK156" s="363"/>
      <c r="AL156" s="170"/>
      <c r="AM156" s="158" t="b">
        <v>0</v>
      </c>
      <c r="AN156" s="796"/>
      <c r="AO156" s="797"/>
      <c r="AP156" s="797"/>
      <c r="AQ156" s="797"/>
      <c r="AR156" s="797"/>
      <c r="AS156" s="797"/>
      <c r="AT156" s="797"/>
      <c r="AU156" s="797"/>
      <c r="AV156" s="797"/>
      <c r="AW156" s="797"/>
      <c r="AX156" s="797"/>
      <c r="AY156" s="798"/>
    </row>
    <row r="157" spans="1:51" s="171" customFormat="1" ht="13.5" customHeight="1">
      <c r="A157" s="170"/>
      <c r="B157" s="930"/>
      <c r="C157" s="931"/>
      <c r="D157" s="931"/>
      <c r="E157" s="932"/>
      <c r="F157" s="364"/>
      <c r="G157" s="939" t="s">
        <v>134</v>
      </c>
      <c r="H157" s="939"/>
      <c r="I157" s="939"/>
      <c r="J157" s="939"/>
      <c r="K157" s="939"/>
      <c r="L157" s="939"/>
      <c r="M157" s="939"/>
      <c r="N157" s="939"/>
      <c r="O157" s="939"/>
      <c r="P157" s="939"/>
      <c r="Q157" s="939"/>
      <c r="R157" s="939"/>
      <c r="S157" s="939"/>
      <c r="T157" s="939"/>
      <c r="U157" s="939"/>
      <c r="V157" s="939"/>
      <c r="W157" s="939"/>
      <c r="X157" s="939"/>
      <c r="Y157" s="939"/>
      <c r="Z157" s="939"/>
      <c r="AA157" s="939"/>
      <c r="AB157" s="939"/>
      <c r="AC157" s="939"/>
      <c r="AD157" s="939"/>
      <c r="AE157" s="939"/>
      <c r="AF157" s="939"/>
      <c r="AG157" s="939"/>
      <c r="AH157" s="939"/>
      <c r="AI157" s="939"/>
      <c r="AJ157" s="939"/>
      <c r="AK157" s="365"/>
      <c r="AL157" s="170"/>
      <c r="AM157" s="158" t="b">
        <v>0</v>
      </c>
    </row>
    <row r="158" spans="1:51" s="171" customFormat="1" ht="24.75" customHeight="1" thickBot="1">
      <c r="A158" s="170"/>
      <c r="B158" s="924" t="s">
        <v>128</v>
      </c>
      <c r="C158" s="925"/>
      <c r="D158" s="925"/>
      <c r="E158" s="926"/>
      <c r="F158" s="366"/>
      <c r="G158" s="1185" t="s">
        <v>109</v>
      </c>
      <c r="H158" s="1185"/>
      <c r="I158" s="1185"/>
      <c r="J158" s="1185"/>
      <c r="K158" s="1185"/>
      <c r="L158" s="1185"/>
      <c r="M158" s="1185"/>
      <c r="N158" s="1185"/>
      <c r="O158" s="1185"/>
      <c r="P158" s="1185"/>
      <c r="Q158" s="1185"/>
      <c r="R158" s="1185"/>
      <c r="S158" s="1185"/>
      <c r="T158" s="1185"/>
      <c r="U158" s="1185"/>
      <c r="V158" s="1185"/>
      <c r="W158" s="1185"/>
      <c r="X158" s="1185"/>
      <c r="Y158" s="1185"/>
      <c r="Z158" s="1185"/>
      <c r="AA158" s="1185"/>
      <c r="AB158" s="1185"/>
      <c r="AC158" s="1185"/>
      <c r="AD158" s="1185"/>
      <c r="AE158" s="1185"/>
      <c r="AF158" s="1185"/>
      <c r="AG158" s="1185"/>
      <c r="AH158" s="1185"/>
      <c r="AI158" s="1185"/>
      <c r="AJ158" s="1185"/>
      <c r="AK158" s="367"/>
      <c r="AL158" s="170"/>
      <c r="AM158" s="158" t="b">
        <v>0</v>
      </c>
    </row>
    <row r="159" spans="1:51" s="171" customFormat="1" ht="13.5" customHeight="1">
      <c r="A159" s="170"/>
      <c r="B159" s="927"/>
      <c r="C159" s="928"/>
      <c r="D159" s="928"/>
      <c r="E159" s="929"/>
      <c r="F159" s="362"/>
      <c r="G159" s="923" t="s">
        <v>110</v>
      </c>
      <c r="H159" s="923"/>
      <c r="I159" s="923"/>
      <c r="J159" s="923"/>
      <c r="K159" s="923"/>
      <c r="L159" s="923"/>
      <c r="M159" s="923"/>
      <c r="N159" s="923"/>
      <c r="O159" s="923"/>
      <c r="P159" s="923"/>
      <c r="Q159" s="923"/>
      <c r="R159" s="923"/>
      <c r="S159" s="923"/>
      <c r="T159" s="923"/>
      <c r="U159" s="923"/>
      <c r="V159" s="923"/>
      <c r="W159" s="923"/>
      <c r="X159" s="923"/>
      <c r="Y159" s="923"/>
      <c r="Z159" s="923"/>
      <c r="AA159" s="923"/>
      <c r="AB159" s="923"/>
      <c r="AC159" s="923"/>
      <c r="AD159" s="923"/>
      <c r="AE159" s="923"/>
      <c r="AF159" s="923"/>
      <c r="AG159" s="923"/>
      <c r="AH159" s="923"/>
      <c r="AI159" s="923"/>
      <c r="AJ159" s="923"/>
      <c r="AK159" s="368"/>
      <c r="AL159" s="170"/>
      <c r="AM159" s="158" t="b">
        <v>0</v>
      </c>
      <c r="AN159" s="793" t="s">
        <v>2256</v>
      </c>
      <c r="AO159" s="794"/>
      <c r="AP159" s="794"/>
      <c r="AQ159" s="794"/>
      <c r="AR159" s="794"/>
      <c r="AS159" s="794"/>
      <c r="AT159" s="794"/>
      <c r="AU159" s="794"/>
      <c r="AV159" s="794"/>
      <c r="AW159" s="794"/>
      <c r="AX159" s="794"/>
      <c r="AY159" s="795"/>
    </row>
    <row r="160" spans="1:51" s="171" customFormat="1" ht="13.5" customHeight="1" thickBot="1">
      <c r="A160" s="170"/>
      <c r="B160" s="927"/>
      <c r="C160" s="928"/>
      <c r="D160" s="928"/>
      <c r="E160" s="929"/>
      <c r="F160" s="362"/>
      <c r="G160" s="923" t="s">
        <v>111</v>
      </c>
      <c r="H160" s="923"/>
      <c r="I160" s="923"/>
      <c r="J160" s="923"/>
      <c r="K160" s="923"/>
      <c r="L160" s="923"/>
      <c r="M160" s="923"/>
      <c r="N160" s="923"/>
      <c r="O160" s="923"/>
      <c r="P160" s="923"/>
      <c r="Q160" s="923"/>
      <c r="R160" s="923"/>
      <c r="S160" s="923"/>
      <c r="T160" s="923"/>
      <c r="U160" s="923"/>
      <c r="V160" s="923"/>
      <c r="W160" s="923"/>
      <c r="X160" s="923"/>
      <c r="Y160" s="923"/>
      <c r="Z160" s="923"/>
      <c r="AA160" s="923"/>
      <c r="AB160" s="923"/>
      <c r="AC160" s="923"/>
      <c r="AD160" s="923"/>
      <c r="AE160" s="923"/>
      <c r="AF160" s="923"/>
      <c r="AG160" s="923"/>
      <c r="AH160" s="923"/>
      <c r="AI160" s="923"/>
      <c r="AJ160" s="923"/>
      <c r="AK160" s="363"/>
      <c r="AL160" s="170"/>
      <c r="AM160" s="158" t="b">
        <v>0</v>
      </c>
      <c r="AN160" s="796"/>
      <c r="AO160" s="797"/>
      <c r="AP160" s="797"/>
      <c r="AQ160" s="797"/>
      <c r="AR160" s="797"/>
      <c r="AS160" s="797"/>
      <c r="AT160" s="797"/>
      <c r="AU160" s="797"/>
      <c r="AV160" s="797"/>
      <c r="AW160" s="797"/>
      <c r="AX160" s="797"/>
      <c r="AY160" s="798"/>
    </row>
    <row r="161" spans="1:51" s="171" customFormat="1" ht="13.5" customHeight="1">
      <c r="A161" s="170"/>
      <c r="B161" s="930"/>
      <c r="C161" s="931"/>
      <c r="D161" s="931"/>
      <c r="E161" s="932"/>
      <c r="F161" s="369"/>
      <c r="G161" s="940" t="s">
        <v>112</v>
      </c>
      <c r="H161" s="940"/>
      <c r="I161" s="940"/>
      <c r="J161" s="940"/>
      <c r="K161" s="940"/>
      <c r="L161" s="940"/>
      <c r="M161" s="940"/>
      <c r="N161" s="940"/>
      <c r="O161" s="940"/>
      <c r="P161" s="940"/>
      <c r="Q161" s="940"/>
      <c r="R161" s="940"/>
      <c r="S161" s="940"/>
      <c r="T161" s="940"/>
      <c r="U161" s="940"/>
      <c r="V161" s="940"/>
      <c r="W161" s="940"/>
      <c r="X161" s="940"/>
      <c r="Y161" s="940"/>
      <c r="Z161" s="940"/>
      <c r="AA161" s="940"/>
      <c r="AB161" s="940"/>
      <c r="AC161" s="940"/>
      <c r="AD161" s="940"/>
      <c r="AE161" s="940"/>
      <c r="AF161" s="940"/>
      <c r="AG161" s="940"/>
      <c r="AH161" s="940"/>
      <c r="AI161" s="940"/>
      <c r="AJ161" s="940"/>
      <c r="AK161" s="941"/>
      <c r="AL161" s="170"/>
      <c r="AM161" s="158" t="b">
        <v>0</v>
      </c>
    </row>
    <row r="162" spans="1:51" s="171" customFormat="1" ht="13.5" customHeight="1" thickBot="1">
      <c r="A162" s="170"/>
      <c r="B162" s="924" t="s">
        <v>129</v>
      </c>
      <c r="C162" s="925"/>
      <c r="D162" s="925"/>
      <c r="E162" s="926"/>
      <c r="F162" s="370"/>
      <c r="G162" s="1185" t="s">
        <v>113</v>
      </c>
      <c r="H162" s="1185"/>
      <c r="I162" s="1185"/>
      <c r="J162" s="1185"/>
      <c r="K162" s="1185"/>
      <c r="L162" s="1185"/>
      <c r="M162" s="1185"/>
      <c r="N162" s="1185"/>
      <c r="O162" s="1185"/>
      <c r="P162" s="1185"/>
      <c r="Q162" s="1185"/>
      <c r="R162" s="1185"/>
      <c r="S162" s="1185"/>
      <c r="T162" s="1185"/>
      <c r="U162" s="1185"/>
      <c r="V162" s="1185"/>
      <c r="W162" s="1185"/>
      <c r="X162" s="1185"/>
      <c r="Y162" s="1185"/>
      <c r="Z162" s="1185"/>
      <c r="AA162" s="1185"/>
      <c r="AB162" s="1185"/>
      <c r="AC162" s="1185"/>
      <c r="AD162" s="1185"/>
      <c r="AE162" s="1185"/>
      <c r="AF162" s="1185"/>
      <c r="AG162" s="1185"/>
      <c r="AH162" s="1185"/>
      <c r="AI162" s="1185"/>
      <c r="AJ162" s="1185"/>
      <c r="AK162" s="368"/>
      <c r="AL162" s="170"/>
      <c r="AM162" s="158" t="b">
        <v>0</v>
      </c>
    </row>
    <row r="163" spans="1:51" s="171" customFormat="1" ht="22.5" customHeight="1">
      <c r="A163" s="170"/>
      <c r="B163" s="927"/>
      <c r="C163" s="928"/>
      <c r="D163" s="928"/>
      <c r="E163" s="929"/>
      <c r="F163" s="362"/>
      <c r="G163" s="923" t="s">
        <v>114</v>
      </c>
      <c r="H163" s="923"/>
      <c r="I163" s="923"/>
      <c r="J163" s="923"/>
      <c r="K163" s="923"/>
      <c r="L163" s="923"/>
      <c r="M163" s="923"/>
      <c r="N163" s="923"/>
      <c r="O163" s="923"/>
      <c r="P163" s="923"/>
      <c r="Q163" s="923"/>
      <c r="R163" s="923"/>
      <c r="S163" s="923"/>
      <c r="T163" s="923"/>
      <c r="U163" s="923"/>
      <c r="V163" s="923"/>
      <c r="W163" s="923"/>
      <c r="X163" s="923"/>
      <c r="Y163" s="923"/>
      <c r="Z163" s="923"/>
      <c r="AA163" s="923"/>
      <c r="AB163" s="923"/>
      <c r="AC163" s="923"/>
      <c r="AD163" s="923"/>
      <c r="AE163" s="923"/>
      <c r="AF163" s="923"/>
      <c r="AG163" s="923"/>
      <c r="AH163" s="923"/>
      <c r="AI163" s="923"/>
      <c r="AJ163" s="923"/>
      <c r="AK163" s="363"/>
      <c r="AL163" s="170"/>
      <c r="AM163" s="158" t="b">
        <v>0</v>
      </c>
      <c r="AN163" s="793" t="s">
        <v>2256</v>
      </c>
      <c r="AO163" s="794"/>
      <c r="AP163" s="794"/>
      <c r="AQ163" s="794"/>
      <c r="AR163" s="794"/>
      <c r="AS163" s="794"/>
      <c r="AT163" s="794"/>
      <c r="AU163" s="794"/>
      <c r="AV163" s="794"/>
      <c r="AW163" s="794"/>
      <c r="AX163" s="794"/>
      <c r="AY163" s="795"/>
    </row>
    <row r="164" spans="1:51" s="171" customFormat="1" ht="13.5" customHeight="1" thickBot="1">
      <c r="A164" s="170"/>
      <c r="B164" s="927"/>
      <c r="C164" s="928"/>
      <c r="D164" s="928"/>
      <c r="E164" s="929"/>
      <c r="F164" s="362"/>
      <c r="G164" s="923" t="s">
        <v>115</v>
      </c>
      <c r="H164" s="923"/>
      <c r="I164" s="923"/>
      <c r="J164" s="923"/>
      <c r="K164" s="923"/>
      <c r="L164" s="923"/>
      <c r="M164" s="923"/>
      <c r="N164" s="923"/>
      <c r="O164" s="923"/>
      <c r="P164" s="923"/>
      <c r="Q164" s="923"/>
      <c r="R164" s="923"/>
      <c r="S164" s="923"/>
      <c r="T164" s="923"/>
      <c r="U164" s="923"/>
      <c r="V164" s="923"/>
      <c r="W164" s="923"/>
      <c r="X164" s="923"/>
      <c r="Y164" s="923"/>
      <c r="Z164" s="923"/>
      <c r="AA164" s="923"/>
      <c r="AB164" s="923"/>
      <c r="AC164" s="923"/>
      <c r="AD164" s="923"/>
      <c r="AE164" s="923"/>
      <c r="AF164" s="923"/>
      <c r="AG164" s="923"/>
      <c r="AH164" s="923"/>
      <c r="AI164" s="923"/>
      <c r="AJ164" s="923"/>
      <c r="AK164" s="363"/>
      <c r="AL164" s="170"/>
      <c r="AM164" s="158" t="b">
        <v>0</v>
      </c>
      <c r="AN164" s="796"/>
      <c r="AO164" s="797"/>
      <c r="AP164" s="797"/>
      <c r="AQ164" s="797"/>
      <c r="AR164" s="797"/>
      <c r="AS164" s="797"/>
      <c r="AT164" s="797"/>
      <c r="AU164" s="797"/>
      <c r="AV164" s="797"/>
      <c r="AW164" s="797"/>
      <c r="AX164" s="797"/>
      <c r="AY164" s="798"/>
    </row>
    <row r="165" spans="1:51" s="171" customFormat="1" ht="13.5" customHeight="1">
      <c r="A165" s="170"/>
      <c r="B165" s="930"/>
      <c r="C165" s="931"/>
      <c r="D165" s="931"/>
      <c r="E165" s="932"/>
      <c r="F165" s="364"/>
      <c r="G165" s="865" t="s">
        <v>116</v>
      </c>
      <c r="H165" s="865"/>
      <c r="I165" s="865"/>
      <c r="J165" s="865"/>
      <c r="K165" s="865"/>
      <c r="L165" s="865"/>
      <c r="M165" s="865"/>
      <c r="N165" s="865"/>
      <c r="O165" s="865"/>
      <c r="P165" s="865"/>
      <c r="Q165" s="865"/>
      <c r="R165" s="865"/>
      <c r="S165" s="865"/>
      <c r="T165" s="865"/>
      <c r="U165" s="865"/>
      <c r="V165" s="865"/>
      <c r="W165" s="865"/>
      <c r="X165" s="865"/>
      <c r="Y165" s="865"/>
      <c r="Z165" s="865"/>
      <c r="AA165" s="865"/>
      <c r="AB165" s="865"/>
      <c r="AC165" s="865"/>
      <c r="AD165" s="865"/>
      <c r="AE165" s="865"/>
      <c r="AF165" s="865"/>
      <c r="AG165" s="865"/>
      <c r="AH165" s="865"/>
      <c r="AI165" s="865"/>
      <c r="AJ165" s="865"/>
      <c r="AK165" s="371"/>
      <c r="AL165" s="170"/>
      <c r="AM165" s="158" t="b">
        <v>0</v>
      </c>
    </row>
    <row r="166" spans="1:51" s="171" customFormat="1" ht="21" customHeight="1" thickBot="1">
      <c r="A166" s="170"/>
      <c r="B166" s="924" t="s">
        <v>130</v>
      </c>
      <c r="C166" s="925"/>
      <c r="D166" s="925"/>
      <c r="E166" s="926"/>
      <c r="F166" s="366"/>
      <c r="G166" s="1042" t="s">
        <v>117</v>
      </c>
      <c r="H166" s="1042"/>
      <c r="I166" s="1042"/>
      <c r="J166" s="1042"/>
      <c r="K166" s="1042"/>
      <c r="L166" s="1042"/>
      <c r="M166" s="1042"/>
      <c r="N166" s="1042"/>
      <c r="O166" s="1042"/>
      <c r="P166" s="1042"/>
      <c r="Q166" s="1042"/>
      <c r="R166" s="1042"/>
      <c r="S166" s="1042"/>
      <c r="T166" s="1042"/>
      <c r="U166" s="1042"/>
      <c r="V166" s="1042"/>
      <c r="W166" s="1042"/>
      <c r="X166" s="1042"/>
      <c r="Y166" s="1042"/>
      <c r="Z166" s="1042"/>
      <c r="AA166" s="1042"/>
      <c r="AB166" s="1042"/>
      <c r="AC166" s="1042"/>
      <c r="AD166" s="1042"/>
      <c r="AE166" s="1042"/>
      <c r="AF166" s="1042"/>
      <c r="AG166" s="1042"/>
      <c r="AH166" s="1042"/>
      <c r="AI166" s="1042"/>
      <c r="AJ166" s="1042"/>
      <c r="AK166" s="368"/>
      <c r="AL166" s="170"/>
      <c r="AM166" s="158" t="b">
        <v>0</v>
      </c>
    </row>
    <row r="167" spans="1:51" s="171" customFormat="1" ht="13.5" customHeight="1">
      <c r="A167" s="170"/>
      <c r="B167" s="927"/>
      <c r="C167" s="928"/>
      <c r="D167" s="928"/>
      <c r="E167" s="929"/>
      <c r="F167" s="362"/>
      <c r="G167" s="866" t="s">
        <v>135</v>
      </c>
      <c r="H167" s="866"/>
      <c r="I167" s="866"/>
      <c r="J167" s="866"/>
      <c r="K167" s="866"/>
      <c r="L167" s="866"/>
      <c r="M167" s="866"/>
      <c r="N167" s="866"/>
      <c r="O167" s="866"/>
      <c r="P167" s="866"/>
      <c r="Q167" s="866"/>
      <c r="R167" s="866"/>
      <c r="S167" s="866"/>
      <c r="T167" s="866"/>
      <c r="U167" s="866"/>
      <c r="V167" s="866"/>
      <c r="W167" s="866"/>
      <c r="X167" s="866"/>
      <c r="Y167" s="866"/>
      <c r="Z167" s="866"/>
      <c r="AA167" s="866"/>
      <c r="AB167" s="866"/>
      <c r="AC167" s="866"/>
      <c r="AD167" s="866"/>
      <c r="AE167" s="866"/>
      <c r="AF167" s="866"/>
      <c r="AG167" s="866"/>
      <c r="AH167" s="866"/>
      <c r="AI167" s="866"/>
      <c r="AJ167" s="866"/>
      <c r="AK167" s="368"/>
      <c r="AL167" s="160"/>
      <c r="AM167" s="158" t="b">
        <v>0</v>
      </c>
      <c r="AN167" s="793" t="s">
        <v>2256</v>
      </c>
      <c r="AO167" s="794"/>
      <c r="AP167" s="794"/>
      <c r="AQ167" s="794"/>
      <c r="AR167" s="794"/>
      <c r="AS167" s="794"/>
      <c r="AT167" s="794"/>
      <c r="AU167" s="794"/>
      <c r="AV167" s="794"/>
      <c r="AW167" s="794"/>
      <c r="AX167" s="794"/>
      <c r="AY167" s="795"/>
    </row>
    <row r="168" spans="1:51" s="171" customFormat="1" ht="13.5" customHeight="1" thickBot="1">
      <c r="A168" s="170"/>
      <c r="B168" s="927"/>
      <c r="C168" s="928"/>
      <c r="D168" s="928"/>
      <c r="E168" s="929"/>
      <c r="F168" s="362"/>
      <c r="G168" s="866" t="s">
        <v>118</v>
      </c>
      <c r="H168" s="866"/>
      <c r="I168" s="866"/>
      <c r="J168" s="866"/>
      <c r="K168" s="866"/>
      <c r="L168" s="866"/>
      <c r="M168" s="866"/>
      <c r="N168" s="866"/>
      <c r="O168" s="866"/>
      <c r="P168" s="866"/>
      <c r="Q168" s="866"/>
      <c r="R168" s="866"/>
      <c r="S168" s="866"/>
      <c r="T168" s="866"/>
      <c r="U168" s="866"/>
      <c r="V168" s="866"/>
      <c r="W168" s="866"/>
      <c r="X168" s="866"/>
      <c r="Y168" s="866"/>
      <c r="Z168" s="866"/>
      <c r="AA168" s="866"/>
      <c r="AB168" s="866"/>
      <c r="AC168" s="866"/>
      <c r="AD168" s="866"/>
      <c r="AE168" s="866"/>
      <c r="AF168" s="866"/>
      <c r="AG168" s="866"/>
      <c r="AH168" s="866"/>
      <c r="AI168" s="866"/>
      <c r="AJ168" s="866"/>
      <c r="AK168" s="372"/>
      <c r="AL168" s="170"/>
      <c r="AM168" s="158" t="b">
        <v>0</v>
      </c>
      <c r="AN168" s="796"/>
      <c r="AO168" s="797"/>
      <c r="AP168" s="797"/>
      <c r="AQ168" s="797"/>
      <c r="AR168" s="797"/>
      <c r="AS168" s="797"/>
      <c r="AT168" s="797"/>
      <c r="AU168" s="797"/>
      <c r="AV168" s="797"/>
      <c r="AW168" s="797"/>
      <c r="AX168" s="797"/>
      <c r="AY168" s="798"/>
    </row>
    <row r="169" spans="1:51" s="171" customFormat="1" ht="13.5" customHeight="1">
      <c r="A169" s="170"/>
      <c r="B169" s="930"/>
      <c r="C169" s="931"/>
      <c r="D169" s="931"/>
      <c r="E169" s="932"/>
      <c r="F169" s="369"/>
      <c r="G169" s="865" t="s">
        <v>119</v>
      </c>
      <c r="H169" s="865"/>
      <c r="I169" s="865"/>
      <c r="J169" s="865"/>
      <c r="K169" s="865"/>
      <c r="L169" s="865"/>
      <c r="M169" s="865"/>
      <c r="N169" s="865"/>
      <c r="O169" s="865"/>
      <c r="P169" s="865"/>
      <c r="Q169" s="865"/>
      <c r="R169" s="865"/>
      <c r="S169" s="865"/>
      <c r="T169" s="865"/>
      <c r="U169" s="865"/>
      <c r="V169" s="865"/>
      <c r="W169" s="865"/>
      <c r="X169" s="865"/>
      <c r="Y169" s="865"/>
      <c r="Z169" s="865"/>
      <c r="AA169" s="865"/>
      <c r="AB169" s="865"/>
      <c r="AC169" s="865"/>
      <c r="AD169" s="865"/>
      <c r="AE169" s="865"/>
      <c r="AF169" s="865"/>
      <c r="AG169" s="865"/>
      <c r="AH169" s="865"/>
      <c r="AI169" s="865"/>
      <c r="AJ169" s="865"/>
      <c r="AK169" s="941"/>
      <c r="AL169" s="170"/>
      <c r="AM169" s="158" t="b">
        <v>0</v>
      </c>
    </row>
    <row r="170" spans="1:51" s="171" customFormat="1" ht="13.5" customHeight="1" thickBot="1">
      <c r="A170" s="170"/>
      <c r="B170" s="924" t="s">
        <v>131</v>
      </c>
      <c r="C170" s="925"/>
      <c r="D170" s="925"/>
      <c r="E170" s="926"/>
      <c r="F170" s="370"/>
      <c r="G170" s="954" t="s">
        <v>120</v>
      </c>
      <c r="H170" s="954"/>
      <c r="I170" s="954"/>
      <c r="J170" s="954"/>
      <c r="K170" s="954"/>
      <c r="L170" s="954"/>
      <c r="M170" s="954"/>
      <c r="N170" s="954"/>
      <c r="O170" s="954"/>
      <c r="P170" s="954"/>
      <c r="Q170" s="954"/>
      <c r="R170" s="954"/>
      <c r="S170" s="954"/>
      <c r="T170" s="954"/>
      <c r="U170" s="954"/>
      <c r="V170" s="954"/>
      <c r="W170" s="954"/>
      <c r="X170" s="954"/>
      <c r="Y170" s="954"/>
      <c r="Z170" s="954"/>
      <c r="AA170" s="954"/>
      <c r="AB170" s="954"/>
      <c r="AC170" s="954"/>
      <c r="AD170" s="954"/>
      <c r="AE170" s="954"/>
      <c r="AF170" s="954"/>
      <c r="AG170" s="954"/>
      <c r="AH170" s="954"/>
      <c r="AI170" s="954"/>
      <c r="AJ170" s="954"/>
      <c r="AK170" s="368"/>
      <c r="AL170" s="170"/>
      <c r="AM170" s="158" t="b">
        <v>0</v>
      </c>
    </row>
    <row r="171" spans="1:51" s="171" customFormat="1" ht="21" customHeight="1">
      <c r="A171" s="170"/>
      <c r="B171" s="927"/>
      <c r="C171" s="928"/>
      <c r="D171" s="928"/>
      <c r="E171" s="929"/>
      <c r="F171" s="362"/>
      <c r="G171" s="866" t="s">
        <v>121</v>
      </c>
      <c r="H171" s="866"/>
      <c r="I171" s="866"/>
      <c r="J171" s="866"/>
      <c r="K171" s="866"/>
      <c r="L171" s="866"/>
      <c r="M171" s="866"/>
      <c r="N171" s="866"/>
      <c r="O171" s="866"/>
      <c r="P171" s="866"/>
      <c r="Q171" s="866"/>
      <c r="R171" s="866"/>
      <c r="S171" s="866"/>
      <c r="T171" s="866"/>
      <c r="U171" s="866"/>
      <c r="V171" s="866"/>
      <c r="W171" s="866"/>
      <c r="X171" s="866"/>
      <c r="Y171" s="866"/>
      <c r="Z171" s="866"/>
      <c r="AA171" s="866"/>
      <c r="AB171" s="866"/>
      <c r="AC171" s="866"/>
      <c r="AD171" s="866"/>
      <c r="AE171" s="866"/>
      <c r="AF171" s="866"/>
      <c r="AG171" s="866"/>
      <c r="AH171" s="866"/>
      <c r="AI171" s="866"/>
      <c r="AJ171" s="866"/>
      <c r="AK171" s="363"/>
      <c r="AL171" s="170"/>
      <c r="AM171" s="158" t="b">
        <v>0</v>
      </c>
      <c r="AN171" s="793" t="s">
        <v>2256</v>
      </c>
      <c r="AO171" s="794"/>
      <c r="AP171" s="794"/>
      <c r="AQ171" s="794"/>
      <c r="AR171" s="794"/>
      <c r="AS171" s="794"/>
      <c r="AT171" s="794"/>
      <c r="AU171" s="794"/>
      <c r="AV171" s="794"/>
      <c r="AW171" s="794"/>
      <c r="AX171" s="794"/>
      <c r="AY171" s="795"/>
    </row>
    <row r="172" spans="1:51" s="171" customFormat="1" ht="13.5" customHeight="1" thickBot="1">
      <c r="A172" s="170"/>
      <c r="B172" s="927"/>
      <c r="C172" s="928"/>
      <c r="D172" s="928"/>
      <c r="E172" s="929"/>
      <c r="F172" s="362"/>
      <c r="G172" s="866" t="s">
        <v>122</v>
      </c>
      <c r="H172" s="866"/>
      <c r="I172" s="866"/>
      <c r="J172" s="866"/>
      <c r="K172" s="866"/>
      <c r="L172" s="866"/>
      <c r="M172" s="866"/>
      <c r="N172" s="866"/>
      <c r="O172" s="866"/>
      <c r="P172" s="866"/>
      <c r="Q172" s="866"/>
      <c r="R172" s="866"/>
      <c r="S172" s="866"/>
      <c r="T172" s="866"/>
      <c r="U172" s="866"/>
      <c r="V172" s="866"/>
      <c r="W172" s="866"/>
      <c r="X172" s="866"/>
      <c r="Y172" s="866"/>
      <c r="Z172" s="866"/>
      <c r="AA172" s="866"/>
      <c r="AB172" s="866"/>
      <c r="AC172" s="866"/>
      <c r="AD172" s="866"/>
      <c r="AE172" s="866"/>
      <c r="AF172" s="866"/>
      <c r="AG172" s="866"/>
      <c r="AH172" s="866"/>
      <c r="AI172" s="866"/>
      <c r="AJ172" s="866"/>
      <c r="AK172" s="363"/>
      <c r="AL172" s="170"/>
      <c r="AM172" s="158" t="b">
        <v>0</v>
      </c>
      <c r="AN172" s="796"/>
      <c r="AO172" s="797"/>
      <c r="AP172" s="797"/>
      <c r="AQ172" s="797"/>
      <c r="AR172" s="797"/>
      <c r="AS172" s="797"/>
      <c r="AT172" s="797"/>
      <c r="AU172" s="797"/>
      <c r="AV172" s="797"/>
      <c r="AW172" s="797"/>
      <c r="AX172" s="797"/>
      <c r="AY172" s="798"/>
    </row>
    <row r="173" spans="1:51" s="171" customFormat="1" ht="13.5" customHeight="1">
      <c r="A173" s="170"/>
      <c r="B173" s="930"/>
      <c r="C173" s="931"/>
      <c r="D173" s="931"/>
      <c r="E173" s="932"/>
      <c r="F173" s="369"/>
      <c r="G173" s="865" t="s">
        <v>123</v>
      </c>
      <c r="H173" s="865"/>
      <c r="I173" s="865"/>
      <c r="J173" s="865"/>
      <c r="K173" s="865"/>
      <c r="L173" s="865"/>
      <c r="M173" s="865"/>
      <c r="N173" s="865"/>
      <c r="O173" s="865"/>
      <c r="P173" s="865"/>
      <c r="Q173" s="865"/>
      <c r="R173" s="865"/>
      <c r="S173" s="865"/>
      <c r="T173" s="865"/>
      <c r="U173" s="865"/>
      <c r="V173" s="865"/>
      <c r="W173" s="865"/>
      <c r="X173" s="865"/>
      <c r="Y173" s="865"/>
      <c r="Z173" s="865"/>
      <c r="AA173" s="865"/>
      <c r="AB173" s="865"/>
      <c r="AC173" s="865"/>
      <c r="AD173" s="865"/>
      <c r="AE173" s="865"/>
      <c r="AF173" s="865"/>
      <c r="AG173" s="865"/>
      <c r="AH173" s="865"/>
      <c r="AI173" s="865"/>
      <c r="AJ173" s="865"/>
      <c r="AK173" s="371"/>
      <c r="AL173" s="170"/>
      <c r="AM173" s="158" t="b">
        <v>0</v>
      </c>
    </row>
    <row r="174" spans="1:51" s="171" customFormat="1" ht="13.5" customHeight="1" thickBot="1">
      <c r="A174" s="170"/>
      <c r="B174" s="924" t="s">
        <v>132</v>
      </c>
      <c r="C174" s="925"/>
      <c r="D174" s="925"/>
      <c r="E174" s="926"/>
      <c r="F174" s="370"/>
      <c r="G174" s="954" t="s">
        <v>124</v>
      </c>
      <c r="H174" s="954"/>
      <c r="I174" s="954"/>
      <c r="J174" s="954"/>
      <c r="K174" s="954"/>
      <c r="L174" s="954"/>
      <c r="M174" s="954"/>
      <c r="N174" s="954"/>
      <c r="O174" s="954"/>
      <c r="P174" s="954"/>
      <c r="Q174" s="954"/>
      <c r="R174" s="954"/>
      <c r="S174" s="954"/>
      <c r="T174" s="954"/>
      <c r="U174" s="954"/>
      <c r="V174" s="954"/>
      <c r="W174" s="954"/>
      <c r="X174" s="954"/>
      <c r="Y174" s="954"/>
      <c r="Z174" s="954"/>
      <c r="AA174" s="954"/>
      <c r="AB174" s="954"/>
      <c r="AC174" s="954"/>
      <c r="AD174" s="954"/>
      <c r="AE174" s="954"/>
      <c r="AF174" s="954"/>
      <c r="AG174" s="954"/>
      <c r="AH174" s="954"/>
      <c r="AI174" s="954"/>
      <c r="AJ174" s="954"/>
      <c r="AK174" s="955"/>
      <c r="AL174" s="373"/>
      <c r="AM174" s="158" t="b">
        <v>0</v>
      </c>
      <c r="AN174" s="163"/>
      <c r="AO174" s="163"/>
      <c r="AP174" s="163"/>
    </row>
    <row r="175" spans="1:51" ht="13.5" customHeight="1">
      <c r="A175" s="160"/>
      <c r="B175" s="927"/>
      <c r="C175" s="928"/>
      <c r="D175" s="928"/>
      <c r="E175" s="929"/>
      <c r="F175" s="362"/>
      <c r="G175" s="866" t="s">
        <v>136</v>
      </c>
      <c r="H175" s="866"/>
      <c r="I175" s="866"/>
      <c r="J175" s="866"/>
      <c r="K175" s="866"/>
      <c r="L175" s="866"/>
      <c r="M175" s="866"/>
      <c r="N175" s="866"/>
      <c r="O175" s="866"/>
      <c r="P175" s="866"/>
      <c r="Q175" s="866"/>
      <c r="R175" s="866"/>
      <c r="S175" s="866"/>
      <c r="T175" s="866"/>
      <c r="U175" s="866"/>
      <c r="V175" s="866"/>
      <c r="W175" s="866"/>
      <c r="X175" s="866"/>
      <c r="Y175" s="866"/>
      <c r="Z175" s="866"/>
      <c r="AA175" s="866"/>
      <c r="AB175" s="866"/>
      <c r="AC175" s="866"/>
      <c r="AD175" s="866"/>
      <c r="AE175" s="866"/>
      <c r="AF175" s="866"/>
      <c r="AG175" s="866"/>
      <c r="AH175" s="866"/>
      <c r="AI175" s="866"/>
      <c r="AJ175" s="866"/>
      <c r="AK175" s="363"/>
      <c r="AL175" s="170"/>
      <c r="AM175" s="158" t="b">
        <v>0</v>
      </c>
      <c r="AN175" s="793" t="s">
        <v>2256</v>
      </c>
      <c r="AO175" s="794"/>
      <c r="AP175" s="794"/>
      <c r="AQ175" s="794"/>
      <c r="AR175" s="794"/>
      <c r="AS175" s="794"/>
      <c r="AT175" s="794"/>
      <c r="AU175" s="794"/>
      <c r="AV175" s="794"/>
      <c r="AW175" s="794"/>
      <c r="AX175" s="794"/>
      <c r="AY175" s="795"/>
    </row>
    <row r="176" spans="1:51" ht="13.5" customHeight="1" thickBot="1">
      <c r="A176" s="160"/>
      <c r="B176" s="927"/>
      <c r="C176" s="928"/>
      <c r="D176" s="928"/>
      <c r="E176" s="929"/>
      <c r="F176" s="362"/>
      <c r="G176" s="866" t="s">
        <v>125</v>
      </c>
      <c r="H176" s="866"/>
      <c r="I176" s="866"/>
      <c r="J176" s="866"/>
      <c r="K176" s="866"/>
      <c r="L176" s="866"/>
      <c r="M176" s="866"/>
      <c r="N176" s="866"/>
      <c r="O176" s="866"/>
      <c r="P176" s="866"/>
      <c r="Q176" s="866"/>
      <c r="R176" s="866"/>
      <c r="S176" s="866"/>
      <c r="T176" s="866"/>
      <c r="U176" s="866"/>
      <c r="V176" s="866"/>
      <c r="W176" s="866"/>
      <c r="X176" s="866"/>
      <c r="Y176" s="866"/>
      <c r="Z176" s="866"/>
      <c r="AA176" s="866"/>
      <c r="AB176" s="866"/>
      <c r="AC176" s="866"/>
      <c r="AD176" s="866"/>
      <c r="AE176" s="866"/>
      <c r="AF176" s="866"/>
      <c r="AG176" s="866"/>
      <c r="AH176" s="866"/>
      <c r="AI176" s="866"/>
      <c r="AJ176" s="866"/>
      <c r="AK176" s="363"/>
      <c r="AL176" s="170"/>
      <c r="AM176" s="158" t="b">
        <v>0</v>
      </c>
      <c r="AN176" s="796"/>
      <c r="AO176" s="797"/>
      <c r="AP176" s="797"/>
      <c r="AQ176" s="797"/>
      <c r="AR176" s="797"/>
      <c r="AS176" s="797"/>
      <c r="AT176" s="797"/>
      <c r="AU176" s="797"/>
      <c r="AV176" s="797"/>
      <c r="AW176" s="797"/>
      <c r="AX176" s="797"/>
      <c r="AY176" s="798"/>
    </row>
    <row r="177" spans="1:55" ht="13.5" customHeight="1" thickBot="1">
      <c r="A177" s="160"/>
      <c r="B177" s="930"/>
      <c r="C177" s="931"/>
      <c r="D177" s="931"/>
      <c r="E177" s="932"/>
      <c r="F177" s="374"/>
      <c r="G177" s="1184" t="s">
        <v>126</v>
      </c>
      <c r="H177" s="1184"/>
      <c r="I177" s="1184"/>
      <c r="J177" s="1184"/>
      <c r="K177" s="1184"/>
      <c r="L177" s="1184"/>
      <c r="M177" s="1184"/>
      <c r="N177" s="1184"/>
      <c r="O177" s="1184"/>
      <c r="P177" s="1184"/>
      <c r="Q177" s="1184"/>
      <c r="R177" s="1184"/>
      <c r="S177" s="1184"/>
      <c r="T177" s="1184"/>
      <c r="U177" s="1184"/>
      <c r="V177" s="1184"/>
      <c r="W177" s="1184"/>
      <c r="X177" s="1184"/>
      <c r="Y177" s="1184"/>
      <c r="Z177" s="1184"/>
      <c r="AA177" s="1184"/>
      <c r="AB177" s="1184"/>
      <c r="AC177" s="1184"/>
      <c r="AD177" s="1184"/>
      <c r="AE177" s="1184"/>
      <c r="AF177" s="1184"/>
      <c r="AG177" s="1184"/>
      <c r="AH177" s="1184"/>
      <c r="AI177" s="1184"/>
      <c r="AJ177" s="1184"/>
      <c r="AK177" s="375"/>
      <c r="AL177" s="160"/>
      <c r="AM177" s="158" t="b">
        <v>0</v>
      </c>
    </row>
    <row r="178" spans="1:55" ht="7.5" customHeight="1">
      <c r="A178" s="160"/>
      <c r="B178" s="376"/>
      <c r="C178" s="376"/>
      <c r="D178" s="376"/>
      <c r="E178" s="376"/>
      <c r="F178" s="376"/>
      <c r="G178" s="376"/>
      <c r="H178" s="376"/>
      <c r="I178" s="376"/>
      <c r="J178" s="376"/>
      <c r="K178" s="376"/>
      <c r="L178" s="376"/>
      <c r="M178" s="376"/>
      <c r="N178" s="376"/>
      <c r="O178" s="376"/>
      <c r="P178" s="376"/>
      <c r="Q178" s="376"/>
      <c r="R178" s="376"/>
      <c r="S178" s="376"/>
      <c r="T178" s="376"/>
      <c r="U178" s="376"/>
      <c r="V178" s="376"/>
      <c r="W178" s="376"/>
      <c r="X178" s="376"/>
      <c r="Y178" s="376"/>
      <c r="Z178" s="376"/>
      <c r="AA178" s="376"/>
      <c r="AB178" s="376"/>
      <c r="AC178" s="376"/>
      <c r="AD178" s="376"/>
      <c r="AE178" s="376"/>
      <c r="AF178" s="376"/>
      <c r="AG178" s="376"/>
      <c r="AH178" s="376"/>
      <c r="AI178" s="376"/>
      <c r="AJ178" s="376"/>
      <c r="AK178" s="376"/>
      <c r="AL178" s="160"/>
      <c r="AM178" s="377"/>
      <c r="AO178" s="377"/>
      <c r="AP178" s="377"/>
      <c r="AQ178" s="377"/>
      <c r="AR178" s="377"/>
      <c r="AS178" s="377"/>
      <c r="AT178" s="377"/>
      <c r="AU178" s="377"/>
      <c r="AV178" s="377"/>
      <c r="AW178" s="377"/>
      <c r="AX178" s="377"/>
      <c r="AY178" s="377"/>
      <c r="AZ178" s="377"/>
      <c r="BB178" s="377"/>
      <c r="BC178" s="377"/>
    </row>
    <row r="179" spans="1:55" s="379" customFormat="1" ht="16.5" customHeight="1" thickBot="1">
      <c r="A179" s="378"/>
      <c r="B179" s="1043" t="s">
        <v>2135</v>
      </c>
      <c r="C179" s="1043"/>
      <c r="D179" s="1043"/>
      <c r="E179" s="1043"/>
      <c r="F179" s="1043"/>
      <c r="G179" s="1043"/>
      <c r="H179" s="1043"/>
      <c r="I179" s="1043"/>
      <c r="J179" s="1043"/>
      <c r="K179" s="1043"/>
      <c r="L179" s="1043"/>
      <c r="M179" s="1043"/>
      <c r="N179" s="1043"/>
      <c r="O179" s="1043"/>
      <c r="P179" s="1043"/>
      <c r="Q179" s="1043"/>
      <c r="R179" s="1043"/>
      <c r="S179" s="1043"/>
      <c r="T179" s="1043"/>
      <c r="U179" s="1043"/>
      <c r="V179" s="1043"/>
      <c r="W179" s="1043"/>
      <c r="X179" s="1043"/>
      <c r="Y179" s="1043"/>
      <c r="Z179" s="1043"/>
      <c r="AA179" s="1043"/>
      <c r="AB179" s="1043"/>
      <c r="AC179" s="1043"/>
      <c r="AD179" s="1043"/>
      <c r="AE179" s="1043"/>
      <c r="AF179" s="1043"/>
      <c r="AG179" s="1043"/>
      <c r="AH179" s="1043"/>
      <c r="AI179" s="1043"/>
      <c r="AJ179" s="1043"/>
      <c r="AK179" s="1043"/>
      <c r="AL179" s="271"/>
      <c r="AN179" s="380"/>
    </row>
    <row r="180" spans="1:55" s="377" customFormat="1" ht="15.75" customHeight="1" thickBot="1">
      <c r="A180" s="373"/>
      <c r="B180" s="381" t="s">
        <v>48</v>
      </c>
      <c r="C180" s="215" t="s">
        <v>2166</v>
      </c>
      <c r="D180" s="162"/>
      <c r="E180" s="162"/>
      <c r="F180" s="162"/>
      <c r="G180" s="162"/>
      <c r="H180" s="162"/>
      <c r="I180" s="162"/>
      <c r="J180" s="162"/>
      <c r="K180" s="162"/>
      <c r="L180" s="162"/>
      <c r="M180" s="162"/>
      <c r="N180" s="162"/>
      <c r="O180" s="162"/>
      <c r="P180" s="162"/>
      <c r="Q180" s="162"/>
      <c r="R180" s="162"/>
      <c r="S180" s="162"/>
      <c r="T180" s="162"/>
      <c r="U180" s="162"/>
      <c r="V180" s="162"/>
      <c r="W180" s="162"/>
      <c r="X180" s="162"/>
      <c r="Y180" s="162"/>
      <c r="Z180" s="162"/>
      <c r="AA180" s="162"/>
      <c r="AB180" s="162"/>
      <c r="AC180" s="162"/>
      <c r="AD180" s="162"/>
      <c r="AE180" s="162"/>
      <c r="AF180" s="162"/>
      <c r="AG180" s="162"/>
      <c r="AH180" s="162"/>
      <c r="AI180" s="162"/>
      <c r="AJ180" s="162"/>
      <c r="AK180" s="359" t="str">
        <f>IF(AI147="該当","",IF(OR(AM181=TRUE,AM182=TRUE),"○","×"))</f>
        <v/>
      </c>
      <c r="AL180" s="160"/>
    </row>
    <row r="181" spans="1:55" s="377" customFormat="1" ht="25.5" customHeight="1">
      <c r="A181" s="373"/>
      <c r="B181" s="1015" t="s">
        <v>22</v>
      </c>
      <c r="C181" s="1016"/>
      <c r="D181" s="1016"/>
      <c r="E181" s="1017" t="b">
        <v>0</v>
      </c>
      <c r="F181" s="361"/>
      <c r="G181" s="833" t="s">
        <v>2272</v>
      </c>
      <c r="H181" s="833"/>
      <c r="I181" s="833"/>
      <c r="J181" s="833"/>
      <c r="K181" s="833"/>
      <c r="L181" s="833"/>
      <c r="M181" s="833"/>
      <c r="N181" s="833"/>
      <c r="O181" s="833"/>
      <c r="P181" s="833"/>
      <c r="Q181" s="833"/>
      <c r="R181" s="833"/>
      <c r="S181" s="833"/>
      <c r="T181" s="833"/>
      <c r="U181" s="833"/>
      <c r="V181" s="833"/>
      <c r="W181" s="833"/>
      <c r="X181" s="833"/>
      <c r="Y181" s="833"/>
      <c r="Z181" s="833"/>
      <c r="AA181" s="833"/>
      <c r="AB181" s="833"/>
      <c r="AC181" s="833"/>
      <c r="AD181" s="833"/>
      <c r="AE181" s="833"/>
      <c r="AF181" s="833"/>
      <c r="AG181" s="833"/>
      <c r="AH181" s="833"/>
      <c r="AI181" s="833"/>
      <c r="AJ181" s="833"/>
      <c r="AK181" s="933"/>
      <c r="AL181" s="170"/>
      <c r="AM181" s="158" t="b">
        <v>0</v>
      </c>
      <c r="AN181" s="793" t="s">
        <v>2248</v>
      </c>
      <c r="AO181" s="794"/>
      <c r="AP181" s="794"/>
      <c r="AQ181" s="794"/>
      <c r="AR181" s="794"/>
      <c r="AS181" s="794"/>
      <c r="AT181" s="794"/>
      <c r="AU181" s="794"/>
      <c r="AV181" s="794"/>
      <c r="AW181" s="794"/>
      <c r="AX181" s="794"/>
      <c r="AY181" s="795"/>
    </row>
    <row r="182" spans="1:55" s="377" customFormat="1" ht="18.75" customHeight="1" thickBot="1">
      <c r="A182" s="373"/>
      <c r="B182" s="1018"/>
      <c r="C182" s="1019"/>
      <c r="D182" s="1019"/>
      <c r="E182" s="1020" t="b">
        <v>0</v>
      </c>
      <c r="F182" s="374"/>
      <c r="G182" s="948" t="s">
        <v>2273</v>
      </c>
      <c r="H182" s="948"/>
      <c r="I182" s="948"/>
      <c r="J182" s="948"/>
      <c r="K182" s="948"/>
      <c r="L182" s="948"/>
      <c r="M182" s="948"/>
      <c r="N182" s="948"/>
      <c r="O182" s="948"/>
      <c r="P182" s="948"/>
      <c r="Q182" s="948"/>
      <c r="R182" s="948"/>
      <c r="S182" s="948"/>
      <c r="T182" s="948"/>
      <c r="U182" s="948"/>
      <c r="V182" s="948"/>
      <c r="W182" s="948"/>
      <c r="X182" s="948"/>
      <c r="Y182" s="948"/>
      <c r="Z182" s="948"/>
      <c r="AA182" s="948"/>
      <c r="AB182" s="948"/>
      <c r="AC182" s="948"/>
      <c r="AD182" s="948"/>
      <c r="AE182" s="948"/>
      <c r="AF182" s="948"/>
      <c r="AG182" s="948"/>
      <c r="AH182" s="948"/>
      <c r="AI182" s="948"/>
      <c r="AJ182" s="948"/>
      <c r="AK182" s="949"/>
      <c r="AL182" s="160"/>
      <c r="AM182" s="158" t="b">
        <v>0</v>
      </c>
      <c r="AN182" s="796"/>
      <c r="AO182" s="797"/>
      <c r="AP182" s="797"/>
      <c r="AQ182" s="797"/>
      <c r="AR182" s="797"/>
      <c r="AS182" s="797"/>
      <c r="AT182" s="797"/>
      <c r="AU182" s="797"/>
      <c r="AV182" s="797"/>
      <c r="AW182" s="797"/>
      <c r="AX182" s="797"/>
      <c r="AY182" s="798"/>
    </row>
    <row r="183" spans="1:55" s="171" customFormat="1" ht="4.5" customHeight="1">
      <c r="A183" s="170"/>
      <c r="B183" s="382"/>
      <c r="C183" s="162"/>
      <c r="D183" s="162"/>
      <c r="E183" s="162"/>
      <c r="F183" s="162"/>
      <c r="G183" s="162"/>
      <c r="H183" s="162"/>
      <c r="I183" s="162"/>
      <c r="J183" s="162"/>
      <c r="K183" s="162"/>
      <c r="L183" s="162"/>
      <c r="M183" s="162"/>
      <c r="N183" s="162"/>
      <c r="O183" s="162"/>
      <c r="P183" s="162"/>
      <c r="Q183" s="162"/>
      <c r="R183" s="162"/>
      <c r="S183" s="162"/>
      <c r="T183" s="162"/>
      <c r="U183" s="162"/>
      <c r="V183" s="162"/>
      <c r="W183" s="162"/>
      <c r="X183" s="162"/>
      <c r="Y183" s="162"/>
      <c r="Z183" s="162"/>
      <c r="AA183" s="162"/>
      <c r="AB183" s="162"/>
      <c r="AC183" s="162"/>
      <c r="AD183" s="162"/>
      <c r="AE183" s="162"/>
      <c r="AF183" s="162"/>
      <c r="AG183" s="162"/>
      <c r="AH183" s="162"/>
      <c r="AI183" s="162"/>
      <c r="AJ183" s="162"/>
      <c r="AK183" s="162"/>
      <c r="AL183" s="160"/>
      <c r="AN183" s="163"/>
    </row>
    <row r="184" spans="1:55" ht="16.5" customHeight="1">
      <c r="A184" s="160"/>
      <c r="B184" s="168" t="s">
        <v>2129</v>
      </c>
      <c r="C184" s="168"/>
      <c r="D184" s="168"/>
      <c r="E184" s="168"/>
      <c r="F184" s="168"/>
      <c r="G184" s="168"/>
      <c r="H184" s="168"/>
      <c r="I184" s="168"/>
      <c r="J184" s="169"/>
      <c r="K184" s="169"/>
      <c r="L184" s="169"/>
      <c r="M184" s="169"/>
      <c r="N184" s="169"/>
      <c r="O184" s="169"/>
      <c r="P184" s="169"/>
      <c r="Q184" s="169"/>
      <c r="R184" s="169"/>
      <c r="S184" s="169"/>
      <c r="T184" s="169"/>
      <c r="U184" s="169"/>
      <c r="V184" s="169"/>
      <c r="W184" s="169"/>
      <c r="X184" s="169"/>
      <c r="Y184" s="169"/>
      <c r="Z184" s="169"/>
      <c r="AA184" s="169"/>
      <c r="AB184" s="169"/>
      <c r="AC184" s="169"/>
      <c r="AD184" s="169"/>
      <c r="AE184" s="169"/>
      <c r="AF184" s="169"/>
      <c r="AG184" s="169"/>
      <c r="AH184" s="169"/>
      <c r="AI184" s="169"/>
      <c r="AJ184" s="169"/>
      <c r="AK184" s="169"/>
      <c r="AL184" s="160"/>
    </row>
    <row r="185" spans="1:55" s="171" customFormat="1" ht="15" thickBot="1">
      <c r="A185" s="170"/>
      <c r="B185" s="219" t="s">
        <v>48</v>
      </c>
      <c r="C185" s="215" t="s">
        <v>216</v>
      </c>
      <c r="D185" s="383"/>
      <c r="E185" s="383"/>
      <c r="F185" s="383"/>
      <c r="G185" s="383"/>
      <c r="H185" s="383"/>
      <c r="I185" s="383"/>
      <c r="J185" s="383"/>
      <c r="K185" s="383"/>
      <c r="L185" s="383"/>
      <c r="M185" s="383"/>
      <c r="N185" s="383"/>
      <c r="O185" s="383"/>
      <c r="P185" s="383"/>
      <c r="Q185" s="383"/>
      <c r="R185" s="383"/>
      <c r="S185" s="383"/>
      <c r="T185" s="383"/>
      <c r="U185" s="383"/>
      <c r="V185" s="383"/>
      <c r="W185" s="383"/>
      <c r="X185" s="383"/>
      <c r="Y185" s="383"/>
      <c r="Z185" s="383"/>
      <c r="AA185" s="383"/>
      <c r="AB185" s="383"/>
      <c r="AC185" s="383"/>
      <c r="AD185" s="383"/>
      <c r="AE185" s="383"/>
      <c r="AF185" s="383"/>
      <c r="AG185" s="383"/>
      <c r="AH185" s="383"/>
      <c r="AI185" s="383"/>
      <c r="AJ185" s="383"/>
      <c r="AK185" s="160"/>
      <c r="AL185" s="160"/>
      <c r="AN185" s="380"/>
    </row>
    <row r="186" spans="1:55" s="171" customFormat="1" ht="40.5" customHeight="1" thickBot="1">
      <c r="A186" s="170"/>
      <c r="B186" s="835" t="s">
        <v>2231</v>
      </c>
      <c r="C186" s="836"/>
      <c r="D186" s="836"/>
      <c r="E186" s="836"/>
      <c r="F186" s="836"/>
      <c r="G186" s="836"/>
      <c r="H186" s="836"/>
      <c r="I186" s="836"/>
      <c r="J186" s="836"/>
      <c r="K186" s="836"/>
      <c r="L186" s="836"/>
      <c r="M186" s="836"/>
      <c r="N186" s="836"/>
      <c r="O186" s="836"/>
      <c r="P186" s="836"/>
      <c r="Q186" s="836"/>
      <c r="R186" s="836"/>
      <c r="S186" s="836"/>
      <c r="T186" s="836"/>
      <c r="U186" s="836"/>
      <c r="V186" s="836"/>
      <c r="W186" s="836"/>
      <c r="X186" s="836"/>
      <c r="Y186" s="836"/>
      <c r="Z186" s="836"/>
      <c r="AA186" s="836"/>
      <c r="AB186" s="836"/>
      <c r="AC186" s="836"/>
      <c r="AD186" s="837"/>
      <c r="AE186" s="996" t="s">
        <v>2235</v>
      </c>
      <c r="AF186" s="997"/>
      <c r="AG186" s="997"/>
      <c r="AH186" s="997"/>
      <c r="AI186" s="997"/>
      <c r="AJ186" s="998"/>
      <c r="AK186" s="359" t="str">
        <f>IF(AND(AM187=TRUE,OR(Q20=0,AM188=TRUE),AM189=TRUE,AM190=TRUE,AM191=TRUE,AM192=TRUE),"○","×")</f>
        <v>×</v>
      </c>
      <c r="AL186" s="160"/>
      <c r="AM186" s="781" t="s">
        <v>2257</v>
      </c>
      <c r="AN186" s="782"/>
      <c r="AO186" s="782"/>
      <c r="AP186" s="782"/>
      <c r="AQ186" s="782"/>
      <c r="AR186" s="782"/>
      <c r="AS186" s="782"/>
      <c r="AT186" s="782"/>
      <c r="AU186" s="782"/>
      <c r="AV186" s="782"/>
      <c r="AW186" s="782"/>
      <c r="AX186" s="782"/>
      <c r="AY186" s="783"/>
    </row>
    <row r="187" spans="1:55" s="171" customFormat="1" ht="26.25" customHeight="1">
      <c r="A187" s="170"/>
      <c r="B187" s="361"/>
      <c r="C187" s="833" t="s">
        <v>2234</v>
      </c>
      <c r="D187" s="833"/>
      <c r="E187" s="833"/>
      <c r="F187" s="833"/>
      <c r="G187" s="833"/>
      <c r="H187" s="833"/>
      <c r="I187" s="833"/>
      <c r="J187" s="833"/>
      <c r="K187" s="833"/>
      <c r="L187" s="833"/>
      <c r="M187" s="833"/>
      <c r="N187" s="833"/>
      <c r="O187" s="833"/>
      <c r="P187" s="833"/>
      <c r="Q187" s="833"/>
      <c r="R187" s="833"/>
      <c r="S187" s="833"/>
      <c r="T187" s="833"/>
      <c r="U187" s="833"/>
      <c r="V187" s="833"/>
      <c r="W187" s="833"/>
      <c r="X187" s="833"/>
      <c r="Y187" s="833"/>
      <c r="Z187" s="833"/>
      <c r="AA187" s="833"/>
      <c r="AB187" s="833"/>
      <c r="AC187" s="833"/>
      <c r="AD187" s="834"/>
      <c r="AE187" s="999" t="s">
        <v>2236</v>
      </c>
      <c r="AF187" s="1000"/>
      <c r="AG187" s="1000"/>
      <c r="AH187" s="1000"/>
      <c r="AI187" s="1000"/>
      <c r="AJ187" s="1000"/>
      <c r="AK187" s="1001"/>
      <c r="AL187" s="160"/>
      <c r="AM187" s="159" t="b">
        <v>0</v>
      </c>
      <c r="AN187" s="305"/>
      <c r="AO187" s="305"/>
      <c r="AP187" s="305"/>
      <c r="AQ187" s="305"/>
      <c r="AR187" s="305"/>
      <c r="AS187" s="305"/>
      <c r="AT187" s="305"/>
      <c r="AU187" s="305"/>
      <c r="AV187" s="305"/>
    </row>
    <row r="188" spans="1:55" s="171" customFormat="1" ht="35.25" customHeight="1">
      <c r="A188" s="170"/>
      <c r="B188" s="370"/>
      <c r="C188" s="831" t="s">
        <v>2244</v>
      </c>
      <c r="D188" s="831"/>
      <c r="E188" s="831"/>
      <c r="F188" s="831"/>
      <c r="G188" s="831"/>
      <c r="H188" s="831"/>
      <c r="I188" s="831"/>
      <c r="J188" s="831"/>
      <c r="K188" s="831"/>
      <c r="L188" s="831"/>
      <c r="M188" s="831"/>
      <c r="N188" s="831"/>
      <c r="O188" s="831"/>
      <c r="P188" s="831"/>
      <c r="Q188" s="831"/>
      <c r="R188" s="831"/>
      <c r="S188" s="831"/>
      <c r="T188" s="831"/>
      <c r="U188" s="831"/>
      <c r="V188" s="831"/>
      <c r="W188" s="831"/>
      <c r="X188" s="831"/>
      <c r="Y188" s="831"/>
      <c r="Z188" s="831"/>
      <c r="AA188" s="831"/>
      <c r="AB188" s="831"/>
      <c r="AC188" s="831"/>
      <c r="AD188" s="832"/>
      <c r="AE188" s="845" t="s">
        <v>2236</v>
      </c>
      <c r="AF188" s="846"/>
      <c r="AG188" s="846"/>
      <c r="AH188" s="846"/>
      <c r="AI188" s="846"/>
      <c r="AJ188" s="846"/>
      <c r="AK188" s="847"/>
      <c r="AL188" s="160"/>
      <c r="AM188" s="158" t="b">
        <v>0</v>
      </c>
      <c r="AN188" s="305"/>
      <c r="AO188" s="305"/>
      <c r="AP188" s="305"/>
      <c r="AQ188" s="305"/>
      <c r="AR188" s="305"/>
      <c r="AS188" s="305"/>
      <c r="AT188" s="305"/>
      <c r="AU188" s="305"/>
      <c r="AV188" s="305"/>
    </row>
    <row r="189" spans="1:55" s="171" customFormat="1" ht="37.5" customHeight="1">
      <c r="A189" s="170"/>
      <c r="B189" s="370"/>
      <c r="C189" s="917" t="s">
        <v>2238</v>
      </c>
      <c r="D189" s="917"/>
      <c r="E189" s="917"/>
      <c r="F189" s="917"/>
      <c r="G189" s="917"/>
      <c r="H189" s="917"/>
      <c r="I189" s="917"/>
      <c r="J189" s="917"/>
      <c r="K189" s="917"/>
      <c r="L189" s="917"/>
      <c r="M189" s="917"/>
      <c r="N189" s="917"/>
      <c r="O189" s="917"/>
      <c r="P189" s="917"/>
      <c r="Q189" s="917"/>
      <c r="R189" s="917"/>
      <c r="S189" s="917"/>
      <c r="T189" s="917"/>
      <c r="U189" s="917"/>
      <c r="V189" s="917"/>
      <c r="W189" s="917"/>
      <c r="X189" s="917"/>
      <c r="Y189" s="917"/>
      <c r="Z189" s="917"/>
      <c r="AA189" s="917"/>
      <c r="AB189" s="917"/>
      <c r="AC189" s="917"/>
      <c r="AD189" s="918"/>
      <c r="AE189" s="845" t="s">
        <v>2237</v>
      </c>
      <c r="AF189" s="846"/>
      <c r="AG189" s="846"/>
      <c r="AH189" s="846"/>
      <c r="AI189" s="846"/>
      <c r="AJ189" s="846"/>
      <c r="AK189" s="847"/>
      <c r="AL189" s="160"/>
      <c r="AM189" s="158" t="b">
        <v>0</v>
      </c>
      <c r="AN189" s="305"/>
      <c r="AO189" s="305"/>
      <c r="AP189" s="305"/>
      <c r="AQ189" s="305"/>
      <c r="AR189" s="305"/>
      <c r="AS189" s="305"/>
      <c r="AT189" s="305"/>
      <c r="AU189" s="305"/>
      <c r="AV189" s="305"/>
    </row>
    <row r="190" spans="1:55" s="171" customFormat="1" ht="23.25" customHeight="1">
      <c r="A190" s="170"/>
      <c r="B190" s="370"/>
      <c r="C190" s="917" t="s">
        <v>78</v>
      </c>
      <c r="D190" s="917"/>
      <c r="E190" s="917"/>
      <c r="F190" s="917"/>
      <c r="G190" s="917"/>
      <c r="H190" s="917"/>
      <c r="I190" s="917"/>
      <c r="J190" s="917"/>
      <c r="K190" s="917"/>
      <c r="L190" s="917"/>
      <c r="M190" s="917"/>
      <c r="N190" s="917"/>
      <c r="O190" s="917"/>
      <c r="P190" s="917"/>
      <c r="Q190" s="917"/>
      <c r="R190" s="917"/>
      <c r="S190" s="917"/>
      <c r="T190" s="917"/>
      <c r="U190" s="917"/>
      <c r="V190" s="917"/>
      <c r="W190" s="917"/>
      <c r="X190" s="917"/>
      <c r="Y190" s="917"/>
      <c r="Z190" s="917"/>
      <c r="AA190" s="917"/>
      <c r="AB190" s="917"/>
      <c r="AC190" s="917"/>
      <c r="AD190" s="918"/>
      <c r="AE190" s="848" t="s">
        <v>80</v>
      </c>
      <c r="AF190" s="849"/>
      <c r="AG190" s="849"/>
      <c r="AH190" s="849"/>
      <c r="AI190" s="849"/>
      <c r="AJ190" s="849"/>
      <c r="AK190" s="850"/>
      <c r="AL190" s="160"/>
      <c r="AM190" s="158" t="b">
        <v>0</v>
      </c>
    </row>
    <row r="191" spans="1:55" s="171" customFormat="1" ht="23.25" customHeight="1">
      <c r="A191" s="170"/>
      <c r="B191" s="370"/>
      <c r="C191" s="917" t="s">
        <v>79</v>
      </c>
      <c r="D191" s="917"/>
      <c r="E191" s="917"/>
      <c r="F191" s="917"/>
      <c r="G191" s="917"/>
      <c r="H191" s="917"/>
      <c r="I191" s="917"/>
      <c r="J191" s="917"/>
      <c r="K191" s="917"/>
      <c r="L191" s="917"/>
      <c r="M191" s="917"/>
      <c r="N191" s="917"/>
      <c r="O191" s="917"/>
      <c r="P191" s="917"/>
      <c r="Q191" s="917"/>
      <c r="R191" s="917"/>
      <c r="S191" s="917"/>
      <c r="T191" s="917"/>
      <c r="U191" s="917"/>
      <c r="V191" s="917"/>
      <c r="W191" s="917"/>
      <c r="X191" s="917"/>
      <c r="Y191" s="917"/>
      <c r="Z191" s="917"/>
      <c r="AA191" s="917"/>
      <c r="AB191" s="917"/>
      <c r="AC191" s="917"/>
      <c r="AD191" s="918"/>
      <c r="AE191" s="845" t="s">
        <v>81</v>
      </c>
      <c r="AF191" s="846"/>
      <c r="AG191" s="846"/>
      <c r="AH191" s="846"/>
      <c r="AI191" s="846"/>
      <c r="AJ191" s="846"/>
      <c r="AK191" s="847"/>
      <c r="AL191" s="160"/>
      <c r="AM191" s="158" t="b">
        <v>0</v>
      </c>
      <c r="AN191" s="384"/>
      <c r="AO191" s="384"/>
      <c r="AP191" s="384"/>
    </row>
    <row r="192" spans="1:55" s="171" customFormat="1" ht="13.5" customHeight="1" thickBot="1">
      <c r="A192" s="170"/>
      <c r="B192" s="374"/>
      <c r="C192" s="854" t="s">
        <v>68</v>
      </c>
      <c r="D192" s="854"/>
      <c r="E192" s="854"/>
      <c r="F192" s="854"/>
      <c r="G192" s="854"/>
      <c r="H192" s="854"/>
      <c r="I192" s="854"/>
      <c r="J192" s="854"/>
      <c r="K192" s="854"/>
      <c r="L192" s="854"/>
      <c r="M192" s="854"/>
      <c r="N192" s="854"/>
      <c r="O192" s="854"/>
      <c r="P192" s="854"/>
      <c r="Q192" s="854"/>
      <c r="R192" s="854"/>
      <c r="S192" s="854"/>
      <c r="T192" s="854"/>
      <c r="U192" s="854"/>
      <c r="V192" s="854"/>
      <c r="W192" s="854"/>
      <c r="X192" s="854"/>
      <c r="Y192" s="854"/>
      <c r="Z192" s="854"/>
      <c r="AA192" s="854"/>
      <c r="AB192" s="854"/>
      <c r="AC192" s="854"/>
      <c r="AD192" s="855"/>
      <c r="AE192" s="851" t="s">
        <v>41</v>
      </c>
      <c r="AF192" s="852"/>
      <c r="AG192" s="852"/>
      <c r="AH192" s="852"/>
      <c r="AI192" s="852"/>
      <c r="AJ192" s="852"/>
      <c r="AK192" s="853"/>
      <c r="AL192" s="160"/>
      <c r="AM192" s="158" t="b">
        <v>0</v>
      </c>
    </row>
    <row r="193" spans="1:55" s="171" customFormat="1" ht="5.25" customHeight="1">
      <c r="A193" s="170"/>
      <c r="B193" s="383"/>
      <c r="C193" s="215"/>
      <c r="D193" s="383"/>
      <c r="E193" s="383"/>
      <c r="F193" s="383"/>
      <c r="G193" s="383"/>
      <c r="H193" s="383"/>
      <c r="I193" s="383"/>
      <c r="J193" s="383"/>
      <c r="K193" s="383"/>
      <c r="L193" s="383"/>
      <c r="M193" s="383"/>
      <c r="N193" s="383"/>
      <c r="O193" s="383"/>
      <c r="P193" s="383"/>
      <c r="Q193" s="383"/>
      <c r="R193" s="383"/>
      <c r="S193" s="383"/>
      <c r="T193" s="383"/>
      <c r="U193" s="383"/>
      <c r="V193" s="383"/>
      <c r="W193" s="383"/>
      <c r="X193" s="383"/>
      <c r="Y193" s="383"/>
      <c r="Z193" s="215"/>
      <c r="AA193" s="215"/>
      <c r="AB193" s="215"/>
      <c r="AC193" s="215"/>
      <c r="AD193" s="215"/>
      <c r="AE193" s="215"/>
      <c r="AF193" s="215"/>
      <c r="AG193" s="215"/>
      <c r="AH193" s="215"/>
      <c r="AI193" s="383"/>
      <c r="AJ193" s="383"/>
      <c r="AK193" s="160"/>
      <c r="AL193" s="160"/>
    </row>
    <row r="194" spans="1:55" s="171" customFormat="1" ht="12" customHeight="1">
      <c r="A194" s="170"/>
      <c r="B194" s="385" t="s">
        <v>2162</v>
      </c>
      <c r="C194" s="386" t="s">
        <v>2163</v>
      </c>
      <c r="D194" s="386"/>
      <c r="E194" s="386"/>
      <c r="F194" s="386"/>
      <c r="G194" s="386"/>
      <c r="H194" s="386"/>
      <c r="I194" s="386"/>
      <c r="J194" s="386"/>
      <c r="K194" s="386"/>
      <c r="L194" s="386"/>
      <c r="M194" s="386"/>
      <c r="N194" s="386"/>
      <c r="O194" s="386"/>
      <c r="P194" s="386"/>
      <c r="Q194" s="386"/>
      <c r="R194" s="386"/>
      <c r="S194" s="386"/>
      <c r="T194" s="386"/>
      <c r="U194" s="386"/>
      <c r="V194" s="386"/>
      <c r="W194" s="386"/>
      <c r="X194" s="386"/>
      <c r="Y194" s="386"/>
      <c r="Z194" s="386"/>
      <c r="AA194" s="386"/>
      <c r="AB194" s="386"/>
      <c r="AC194" s="386"/>
      <c r="AD194" s="386"/>
      <c r="AE194" s="386"/>
      <c r="AF194" s="386"/>
      <c r="AG194" s="386"/>
      <c r="AH194" s="386"/>
      <c r="AI194" s="386"/>
      <c r="AJ194" s="386"/>
      <c r="AK194" s="387"/>
      <c r="AL194" s="160"/>
    </row>
    <row r="195" spans="1:55" s="171" customFormat="1" ht="28.5" customHeight="1" thickBot="1">
      <c r="A195" s="170"/>
      <c r="B195" s="385" t="s">
        <v>2162</v>
      </c>
      <c r="C195" s="1044" t="s">
        <v>2291</v>
      </c>
      <c r="D195" s="1044"/>
      <c r="E195" s="1044"/>
      <c r="F195" s="1044"/>
      <c r="G195" s="1044"/>
      <c r="H195" s="1044"/>
      <c r="I195" s="1044"/>
      <c r="J195" s="1044"/>
      <c r="K195" s="1044"/>
      <c r="L195" s="1044"/>
      <c r="M195" s="1044"/>
      <c r="N195" s="1044"/>
      <c r="O195" s="1044"/>
      <c r="P195" s="1044"/>
      <c r="Q195" s="1044"/>
      <c r="R195" s="1044"/>
      <c r="S195" s="1044"/>
      <c r="T195" s="1044"/>
      <c r="U195" s="1044"/>
      <c r="V195" s="1044"/>
      <c r="W195" s="1044"/>
      <c r="X195" s="1044"/>
      <c r="Y195" s="1044"/>
      <c r="Z195" s="1044"/>
      <c r="AA195" s="1044"/>
      <c r="AB195" s="1044"/>
      <c r="AC195" s="1044"/>
      <c r="AD195" s="1044"/>
      <c r="AE195" s="1044"/>
      <c r="AF195" s="1044"/>
      <c r="AG195" s="1044"/>
      <c r="AH195" s="1044"/>
      <c r="AI195" s="1044"/>
      <c r="AJ195" s="1044"/>
      <c r="AK195" s="1044"/>
      <c r="AL195" s="160"/>
    </row>
    <row r="196" spans="1:55" s="171" customFormat="1" ht="16.5" customHeight="1" thickBot="1">
      <c r="A196" s="170"/>
      <c r="B196" s="388"/>
      <c r="C196" s="279"/>
      <c r="D196" s="279"/>
      <c r="E196" s="279"/>
      <c r="F196" s="279"/>
      <c r="G196" s="279"/>
      <c r="H196" s="279"/>
      <c r="I196" s="279"/>
      <c r="J196" s="279"/>
      <c r="K196" s="279"/>
      <c r="L196" s="279"/>
      <c r="M196" s="279"/>
      <c r="N196" s="279"/>
      <c r="O196" s="279"/>
      <c r="P196" s="279"/>
      <c r="Q196" s="279"/>
      <c r="R196" s="279"/>
      <c r="S196" s="279"/>
      <c r="T196" s="279"/>
      <c r="U196" s="279"/>
      <c r="V196" s="279"/>
      <c r="W196" s="279"/>
      <c r="X196" s="279"/>
      <c r="Y196" s="279"/>
      <c r="Z196" s="279"/>
      <c r="AA196" s="279"/>
      <c r="AB196" s="279"/>
      <c r="AC196" s="279"/>
      <c r="AD196" s="279"/>
      <c r="AE196" s="279"/>
      <c r="AF196" s="279"/>
      <c r="AG196" s="279"/>
      <c r="AH196" s="279"/>
      <c r="AI196" s="279"/>
      <c r="AJ196" s="279"/>
      <c r="AK196" s="359" t="str">
        <f>IF(COUNTA(E200,H200,K200,T201,AA201)=5,"○","×")</f>
        <v>×</v>
      </c>
      <c r="AL196" s="160"/>
    </row>
    <row r="197" spans="1:55" s="171" customFormat="1" ht="8.25" customHeight="1">
      <c r="A197" s="170"/>
      <c r="B197" s="389"/>
      <c r="C197" s="390"/>
      <c r="D197" s="390"/>
      <c r="E197" s="390"/>
      <c r="F197" s="390"/>
      <c r="G197" s="390"/>
      <c r="H197" s="390"/>
      <c r="I197" s="390"/>
      <c r="J197" s="390"/>
      <c r="K197" s="390"/>
      <c r="L197" s="390"/>
      <c r="M197" s="390"/>
      <c r="N197" s="390"/>
      <c r="O197" s="390"/>
      <c r="P197" s="390"/>
      <c r="Q197" s="390"/>
      <c r="R197" s="390"/>
      <c r="S197" s="390"/>
      <c r="T197" s="390"/>
      <c r="U197" s="390"/>
      <c r="V197" s="390"/>
      <c r="W197" s="390"/>
      <c r="X197" s="390"/>
      <c r="Y197" s="390"/>
      <c r="Z197" s="390"/>
      <c r="AA197" s="390"/>
      <c r="AB197" s="390"/>
      <c r="AC197" s="390"/>
      <c r="AD197" s="390"/>
      <c r="AE197" s="390"/>
      <c r="AF197" s="390"/>
      <c r="AG197" s="390"/>
      <c r="AH197" s="390"/>
      <c r="AI197" s="390"/>
      <c r="AJ197" s="390"/>
      <c r="AK197" s="391"/>
      <c r="AL197" s="160"/>
      <c r="AM197" s="163"/>
    </row>
    <row r="198" spans="1:55" s="171" customFormat="1" ht="26.25" customHeight="1">
      <c r="A198" s="170"/>
      <c r="B198" s="392"/>
      <c r="C198" s="1187" t="s">
        <v>2249</v>
      </c>
      <c r="D198" s="1187"/>
      <c r="E198" s="1187"/>
      <c r="F198" s="1187"/>
      <c r="G198" s="1187"/>
      <c r="H198" s="1187"/>
      <c r="I198" s="1187"/>
      <c r="J198" s="1187"/>
      <c r="K198" s="1187"/>
      <c r="L198" s="1187"/>
      <c r="M198" s="1187"/>
      <c r="N198" s="1187"/>
      <c r="O198" s="1187"/>
      <c r="P198" s="1187"/>
      <c r="Q198" s="1187"/>
      <c r="R198" s="1187"/>
      <c r="S198" s="1187"/>
      <c r="T198" s="1187"/>
      <c r="U198" s="1187"/>
      <c r="V198" s="1187"/>
      <c r="W198" s="1187"/>
      <c r="X198" s="1187"/>
      <c r="Y198" s="1187"/>
      <c r="Z198" s="1187"/>
      <c r="AA198" s="1187"/>
      <c r="AB198" s="1187"/>
      <c r="AC198" s="1187"/>
      <c r="AD198" s="1187"/>
      <c r="AE198" s="1187"/>
      <c r="AF198" s="1187"/>
      <c r="AG198" s="1187"/>
      <c r="AH198" s="1187"/>
      <c r="AI198" s="1187"/>
      <c r="AJ198" s="383"/>
      <c r="AK198" s="393"/>
      <c r="AL198" s="383"/>
      <c r="AM198" s="163"/>
    </row>
    <row r="199" spans="1:55" s="171" customFormat="1" ht="6.75" customHeight="1">
      <c r="A199" s="170"/>
      <c r="B199" s="392"/>
      <c r="C199" s="215"/>
      <c r="D199" s="383"/>
      <c r="E199" s="383"/>
      <c r="F199" s="383"/>
      <c r="G199" s="383"/>
      <c r="H199" s="383"/>
      <c r="I199" s="383"/>
      <c r="J199" s="383"/>
      <c r="K199" s="383"/>
      <c r="L199" s="383"/>
      <c r="M199" s="383"/>
      <c r="N199" s="383"/>
      <c r="O199" s="383"/>
      <c r="P199" s="383"/>
      <c r="Q199" s="383"/>
      <c r="R199" s="383"/>
      <c r="S199" s="383"/>
      <c r="T199" s="383"/>
      <c r="U199" s="383"/>
      <c r="V199" s="383"/>
      <c r="W199" s="383"/>
      <c r="X199" s="383"/>
      <c r="Y199" s="383"/>
      <c r="Z199" s="383"/>
      <c r="AA199" s="383"/>
      <c r="AB199" s="383"/>
      <c r="AC199" s="383"/>
      <c r="AD199" s="383"/>
      <c r="AE199" s="383"/>
      <c r="AF199" s="383"/>
      <c r="AG199" s="383"/>
      <c r="AH199" s="383"/>
      <c r="AI199" s="383"/>
      <c r="AJ199" s="383"/>
      <c r="AK199" s="393"/>
      <c r="AL199" s="160"/>
      <c r="AM199" s="163"/>
    </row>
    <row r="200" spans="1:55" s="171" customFormat="1" ht="15" customHeight="1">
      <c r="A200" s="170"/>
      <c r="B200" s="394"/>
      <c r="C200" s="395" t="s">
        <v>19</v>
      </c>
      <c r="D200" s="395"/>
      <c r="E200" s="970"/>
      <c r="F200" s="971"/>
      <c r="G200" s="395" t="s">
        <v>4</v>
      </c>
      <c r="H200" s="970"/>
      <c r="I200" s="971"/>
      <c r="J200" s="395" t="s">
        <v>3</v>
      </c>
      <c r="K200" s="970"/>
      <c r="L200" s="971"/>
      <c r="M200" s="395" t="s">
        <v>2</v>
      </c>
      <c r="N200" s="383"/>
      <c r="O200" s="1040" t="s">
        <v>5</v>
      </c>
      <c r="P200" s="1040"/>
      <c r="Q200" s="1040"/>
      <c r="R200" s="1151" t="str">
        <f>IF(H7="","",H7)</f>
        <v/>
      </c>
      <c r="S200" s="1151"/>
      <c r="T200" s="1151"/>
      <c r="U200" s="1151"/>
      <c r="V200" s="1151"/>
      <c r="W200" s="1151"/>
      <c r="X200" s="1151"/>
      <c r="Y200" s="1151"/>
      <c r="Z200" s="1151"/>
      <c r="AA200" s="1151"/>
      <c r="AB200" s="1151"/>
      <c r="AC200" s="1151"/>
      <c r="AD200" s="1151"/>
      <c r="AE200" s="1151"/>
      <c r="AF200" s="1151"/>
      <c r="AG200" s="1151"/>
      <c r="AH200" s="1151"/>
      <c r="AI200" s="1151"/>
      <c r="AJ200" s="396"/>
      <c r="AK200" s="397"/>
      <c r="AL200" s="398"/>
      <c r="AM200" s="399"/>
      <c r="AN200" s="163"/>
      <c r="AO200" s="163"/>
      <c r="AP200" s="163"/>
      <c r="AQ200" s="163"/>
      <c r="AR200" s="163"/>
      <c r="AS200" s="163"/>
      <c r="AT200" s="163"/>
      <c r="AU200" s="163"/>
      <c r="AV200" s="163"/>
      <c r="AW200" s="198"/>
      <c r="AX200" s="163"/>
      <c r="AY200" s="163"/>
      <c r="AZ200" s="163"/>
      <c r="BA200" s="163"/>
      <c r="BB200" s="163"/>
      <c r="BC200" s="163"/>
    </row>
    <row r="201" spans="1:55" ht="15" customHeight="1">
      <c r="A201" s="160"/>
      <c r="B201" s="394"/>
      <c r="C201" s="400"/>
      <c r="D201" s="395"/>
      <c r="E201" s="395"/>
      <c r="F201" s="395"/>
      <c r="G201" s="395"/>
      <c r="H201" s="395"/>
      <c r="I201" s="395"/>
      <c r="J201" s="395"/>
      <c r="K201" s="395"/>
      <c r="L201" s="395"/>
      <c r="M201" s="395"/>
      <c r="N201" s="395"/>
      <c r="O201" s="1036" t="s">
        <v>51</v>
      </c>
      <c r="P201" s="1036"/>
      <c r="Q201" s="1036"/>
      <c r="R201" s="1041" t="s">
        <v>52</v>
      </c>
      <c r="S201" s="1041"/>
      <c r="T201" s="1014"/>
      <c r="U201" s="1014"/>
      <c r="V201" s="1014"/>
      <c r="W201" s="1014"/>
      <c r="X201" s="1014"/>
      <c r="Y201" s="1188" t="s">
        <v>53</v>
      </c>
      <c r="Z201" s="1188"/>
      <c r="AA201" s="1014"/>
      <c r="AB201" s="1014"/>
      <c r="AC201" s="1014"/>
      <c r="AD201" s="1014"/>
      <c r="AE201" s="1014"/>
      <c r="AF201" s="1014"/>
      <c r="AG201" s="1014"/>
      <c r="AH201" s="1014"/>
      <c r="AI201" s="1014"/>
      <c r="AJ201" s="400"/>
      <c r="AK201" s="401"/>
      <c r="AL201" s="398"/>
      <c r="AM201" s="399"/>
      <c r="AW201" s="198"/>
    </row>
    <row r="202" spans="1:55" ht="7.5" customHeight="1" thickBot="1">
      <c r="A202" s="160"/>
      <c r="B202" s="402"/>
      <c r="C202" s="403"/>
      <c r="D202" s="404"/>
      <c r="E202" s="404"/>
      <c r="F202" s="404"/>
      <c r="G202" s="404"/>
      <c r="H202" s="404"/>
      <c r="I202" s="404"/>
      <c r="J202" s="404"/>
      <c r="K202" s="404"/>
      <c r="L202" s="404"/>
      <c r="M202" s="404"/>
      <c r="N202" s="404"/>
      <c r="O202" s="404"/>
      <c r="P202" s="404"/>
      <c r="Q202" s="403"/>
      <c r="R202" s="404"/>
      <c r="S202" s="405"/>
      <c r="T202" s="405"/>
      <c r="U202" s="405"/>
      <c r="V202" s="405"/>
      <c r="W202" s="405"/>
      <c r="X202" s="406"/>
      <c r="Y202" s="406"/>
      <c r="Z202" s="406"/>
      <c r="AA202" s="406"/>
      <c r="AB202" s="406"/>
      <c r="AC202" s="406"/>
      <c r="AD202" s="406"/>
      <c r="AE202" s="406"/>
      <c r="AF202" s="406"/>
      <c r="AG202" s="406"/>
      <c r="AH202" s="406"/>
      <c r="AI202" s="406"/>
      <c r="AJ202" s="407"/>
      <c r="AK202" s="408"/>
      <c r="AL202" s="398"/>
      <c r="AM202" s="399"/>
      <c r="AW202" s="198"/>
    </row>
    <row r="203" spans="1:55" ht="7.5" customHeight="1">
      <c r="A203" s="160"/>
      <c r="B203" s="409"/>
      <c r="C203" s="398"/>
      <c r="D203" s="409"/>
      <c r="E203" s="409"/>
      <c r="F203" s="409"/>
      <c r="G203" s="409"/>
      <c r="H203" s="409"/>
      <c r="I203" s="409"/>
      <c r="J203" s="409"/>
      <c r="K203" s="409"/>
      <c r="L203" s="409"/>
      <c r="M203" s="409"/>
      <c r="N203" s="409"/>
      <c r="O203" s="409"/>
      <c r="P203" s="409"/>
      <c r="Q203" s="398"/>
      <c r="R203" s="409"/>
      <c r="S203" s="410"/>
      <c r="T203" s="410"/>
      <c r="U203" s="410"/>
      <c r="V203" s="410"/>
      <c r="W203" s="410"/>
      <c r="X203" s="411"/>
      <c r="Y203" s="411"/>
      <c r="Z203" s="411"/>
      <c r="AA203" s="411"/>
      <c r="AB203" s="411"/>
      <c r="AC203" s="411"/>
      <c r="AD203" s="411"/>
      <c r="AE203" s="411"/>
      <c r="AF203" s="411"/>
      <c r="AG203" s="411"/>
      <c r="AH203" s="411"/>
      <c r="AI203" s="411"/>
      <c r="AJ203" s="412"/>
      <c r="AK203" s="398"/>
      <c r="AL203" s="398"/>
      <c r="AM203" s="399"/>
      <c r="AW203" s="198"/>
    </row>
    <row r="204" spans="1:55" s="171" customFormat="1" ht="15" customHeight="1">
      <c r="A204" s="170"/>
      <c r="B204" s="413" t="s">
        <v>169</v>
      </c>
      <c r="C204" s="409"/>
      <c r="D204" s="170"/>
      <c r="E204" s="170"/>
      <c r="F204" s="168" t="s">
        <v>174</v>
      </c>
      <c r="G204" s="160"/>
      <c r="H204" s="160"/>
      <c r="I204" s="160"/>
      <c r="J204" s="160"/>
      <c r="K204" s="160"/>
      <c r="L204" s="160"/>
      <c r="M204" s="160"/>
      <c r="N204" s="160"/>
      <c r="O204" s="160"/>
      <c r="P204" s="160"/>
      <c r="Q204" s="160"/>
      <c r="R204" s="160"/>
      <c r="S204" s="160"/>
      <c r="T204" s="160"/>
      <c r="U204" s="160"/>
      <c r="V204" s="160"/>
      <c r="W204" s="160"/>
      <c r="X204" s="160"/>
      <c r="Y204" s="160"/>
      <c r="Z204" s="160"/>
      <c r="AA204" s="160"/>
      <c r="AB204" s="160"/>
      <c r="AC204" s="160"/>
      <c r="AD204" s="160"/>
      <c r="AE204" s="160"/>
      <c r="AF204" s="160"/>
      <c r="AG204" s="160"/>
      <c r="AH204" s="160"/>
      <c r="AI204" s="160"/>
      <c r="AJ204" s="160"/>
      <c r="AK204" s="160"/>
      <c r="AL204" s="160"/>
      <c r="AM204" s="163"/>
    </row>
    <row r="205" spans="1:55" ht="12.75" customHeight="1">
      <c r="A205" s="160"/>
      <c r="B205" s="219" t="s">
        <v>48</v>
      </c>
      <c r="C205" s="387" t="s">
        <v>2390</v>
      </c>
      <c r="D205" s="160"/>
      <c r="E205" s="160"/>
      <c r="F205" s="160"/>
      <c r="G205" s="160"/>
      <c r="H205" s="160"/>
      <c r="I205" s="160"/>
      <c r="J205" s="160"/>
      <c r="K205" s="160"/>
      <c r="L205" s="160"/>
      <c r="M205" s="160"/>
      <c r="N205" s="160"/>
      <c r="O205" s="160"/>
      <c r="P205" s="160"/>
      <c r="Q205" s="160"/>
      <c r="R205" s="160"/>
      <c r="S205" s="160"/>
      <c r="T205" s="160"/>
      <c r="U205" s="160"/>
      <c r="V205" s="160"/>
      <c r="W205" s="160"/>
      <c r="X205" s="160"/>
      <c r="Y205" s="160"/>
      <c r="Z205" s="160"/>
      <c r="AA205" s="160"/>
      <c r="AB205" s="160"/>
      <c r="AC205" s="160"/>
      <c r="AD205" s="160"/>
      <c r="AE205" s="160"/>
      <c r="AF205" s="160"/>
      <c r="AG205" s="160"/>
      <c r="AH205" s="160"/>
      <c r="AI205" s="160"/>
      <c r="AJ205" s="160"/>
      <c r="AK205" s="160"/>
      <c r="AL205" s="160"/>
    </row>
    <row r="206" spans="1:55" s="253" customFormat="1" ht="12" customHeight="1">
      <c r="A206" s="195"/>
      <c r="B206" s="219" t="s">
        <v>2162</v>
      </c>
      <c r="C206" s="387" t="s">
        <v>2164</v>
      </c>
      <c r="D206" s="195"/>
      <c r="E206" s="195"/>
      <c r="F206" s="195"/>
      <c r="G206" s="195"/>
      <c r="H206" s="195"/>
      <c r="I206" s="195"/>
      <c r="J206" s="195"/>
      <c r="K206" s="195"/>
      <c r="L206" s="195"/>
      <c r="M206" s="195"/>
      <c r="N206" s="195"/>
      <c r="O206" s="195"/>
      <c r="P206" s="195"/>
      <c r="Q206" s="195"/>
      <c r="R206" s="195"/>
      <c r="S206" s="195"/>
      <c r="T206" s="195"/>
      <c r="U206" s="195"/>
      <c r="V206" s="195"/>
      <c r="W206" s="195"/>
      <c r="X206" s="195"/>
      <c r="Y206" s="195"/>
      <c r="Z206" s="195"/>
      <c r="AA206" s="195"/>
      <c r="AB206" s="195"/>
      <c r="AC206" s="195"/>
      <c r="AD206" s="195"/>
      <c r="AE206" s="195"/>
      <c r="AF206" s="195"/>
      <c r="AG206" s="195"/>
      <c r="AH206" s="195"/>
      <c r="AI206" s="195"/>
      <c r="AJ206" s="195"/>
      <c r="AK206" s="195"/>
      <c r="AL206" s="195"/>
    </row>
    <row r="207" spans="1:55" ht="6" customHeight="1">
      <c r="A207" s="160"/>
      <c r="B207" s="168"/>
      <c r="C207" s="409"/>
      <c r="D207" s="160"/>
      <c r="E207" s="160"/>
      <c r="F207" s="160"/>
      <c r="G207" s="160"/>
      <c r="H207" s="160"/>
      <c r="I207" s="160"/>
      <c r="J207" s="160"/>
      <c r="K207" s="160"/>
      <c r="L207" s="160"/>
      <c r="M207" s="160"/>
      <c r="N207" s="160"/>
      <c r="O207" s="160"/>
      <c r="P207" s="160"/>
      <c r="Q207" s="160"/>
      <c r="R207" s="160"/>
      <c r="S207" s="160"/>
      <c r="T207" s="160"/>
      <c r="U207" s="160"/>
      <c r="V207" s="160"/>
      <c r="W207" s="160"/>
      <c r="X207" s="160"/>
      <c r="Y207" s="160"/>
      <c r="Z207" s="160"/>
      <c r="AA207" s="160"/>
      <c r="AB207" s="160"/>
      <c r="AC207" s="160"/>
      <c r="AD207" s="160"/>
      <c r="AE207" s="160"/>
      <c r="AF207" s="160"/>
      <c r="AG207" s="160"/>
      <c r="AH207" s="160"/>
      <c r="AI207" s="160"/>
      <c r="AJ207" s="160"/>
      <c r="AK207" s="160"/>
      <c r="AL207" s="160"/>
    </row>
    <row r="208" spans="1:55">
      <c r="A208" s="160"/>
      <c r="B208" s="1034" t="s">
        <v>2132</v>
      </c>
      <c r="C208" s="1034"/>
      <c r="D208" s="1034"/>
      <c r="E208" s="1034"/>
      <c r="F208" s="1034"/>
      <c r="G208" s="1034"/>
      <c r="H208" s="1034"/>
      <c r="I208" s="1034"/>
      <c r="J208" s="1034"/>
      <c r="K208" s="1034"/>
      <c r="L208" s="1034"/>
      <c r="M208" s="1034"/>
      <c r="N208" s="1034"/>
      <c r="O208" s="1034"/>
      <c r="P208" s="1034"/>
      <c r="Q208" s="1034"/>
      <c r="R208" s="1034"/>
      <c r="S208" s="1034"/>
      <c r="T208" s="1034"/>
      <c r="U208" s="1034"/>
      <c r="V208" s="1034"/>
      <c r="W208" s="1034"/>
      <c r="X208" s="1034"/>
      <c r="Y208" s="1034"/>
      <c r="Z208" s="1034"/>
      <c r="AA208" s="1034"/>
      <c r="AB208" s="1034"/>
      <c r="AC208" s="1034"/>
      <c r="AD208" s="1034"/>
      <c r="AE208" s="1034"/>
      <c r="AF208" s="1034"/>
      <c r="AG208" s="1034"/>
      <c r="AH208" s="1034"/>
      <c r="AI208" s="1034"/>
      <c r="AJ208" s="1034"/>
      <c r="AK208" s="1034"/>
      <c r="AL208" s="160"/>
    </row>
    <row r="209" spans="1:56">
      <c r="A209" s="160"/>
      <c r="B209" s="989" t="s">
        <v>179</v>
      </c>
      <c r="C209" s="956" t="s">
        <v>2232</v>
      </c>
      <c r="D209" s="957"/>
      <c r="E209" s="957"/>
      <c r="F209" s="957"/>
      <c r="G209" s="957"/>
      <c r="H209" s="957"/>
      <c r="I209" s="957"/>
      <c r="J209" s="957"/>
      <c r="K209" s="957"/>
      <c r="L209" s="957"/>
      <c r="M209" s="957"/>
      <c r="N209" s="957"/>
      <c r="O209" s="957"/>
      <c r="P209" s="957"/>
      <c r="Q209" s="957"/>
      <c r="R209" s="957"/>
      <c r="S209" s="957"/>
      <c r="T209" s="957"/>
      <c r="U209" s="957"/>
      <c r="V209" s="957"/>
      <c r="W209" s="957"/>
      <c r="X209" s="957"/>
      <c r="Y209" s="957"/>
      <c r="Z209" s="957"/>
      <c r="AA209" s="957"/>
      <c r="AB209" s="957"/>
      <c r="AC209" s="957"/>
      <c r="AD209" s="957"/>
      <c r="AE209" s="957"/>
      <c r="AF209" s="957"/>
      <c r="AG209" s="957"/>
      <c r="AH209" s="957"/>
      <c r="AI209" s="957"/>
      <c r="AJ209" s="958"/>
      <c r="AK209" s="414" t="str">
        <f>Y20</f>
        <v/>
      </c>
      <c r="AL209" s="160"/>
    </row>
    <row r="210" spans="1:56">
      <c r="A210" s="160"/>
      <c r="B210" s="990"/>
      <c r="C210" s="986" t="s">
        <v>2222</v>
      </c>
      <c r="D210" s="987"/>
      <c r="E210" s="987"/>
      <c r="F210" s="987"/>
      <c r="G210" s="987"/>
      <c r="H210" s="987"/>
      <c r="I210" s="987"/>
      <c r="J210" s="987"/>
      <c r="K210" s="987"/>
      <c r="L210" s="987"/>
      <c r="M210" s="987"/>
      <c r="N210" s="987"/>
      <c r="O210" s="987"/>
      <c r="P210" s="987"/>
      <c r="Q210" s="987"/>
      <c r="R210" s="987"/>
      <c r="S210" s="987"/>
      <c r="T210" s="987"/>
      <c r="U210" s="987"/>
      <c r="V210" s="987"/>
      <c r="W210" s="987"/>
      <c r="X210" s="987"/>
      <c r="Y210" s="987"/>
      <c r="Z210" s="987"/>
      <c r="AA210" s="987"/>
      <c r="AB210" s="987"/>
      <c r="AC210" s="987"/>
      <c r="AD210" s="987"/>
      <c r="AE210" s="987"/>
      <c r="AF210" s="987"/>
      <c r="AG210" s="987"/>
      <c r="AH210" s="987"/>
      <c r="AI210" s="987"/>
      <c r="AJ210" s="988"/>
      <c r="AK210" s="414" t="str">
        <f>Y21</f>
        <v>○</v>
      </c>
      <c r="AL210" s="160"/>
    </row>
    <row r="211" spans="1:56">
      <c r="A211" s="160"/>
      <c r="B211" s="991"/>
      <c r="C211" s="986" t="s">
        <v>2233</v>
      </c>
      <c r="D211" s="987"/>
      <c r="E211" s="987"/>
      <c r="F211" s="987"/>
      <c r="G211" s="987"/>
      <c r="H211" s="987"/>
      <c r="I211" s="987"/>
      <c r="J211" s="987"/>
      <c r="K211" s="987"/>
      <c r="L211" s="987"/>
      <c r="M211" s="987"/>
      <c r="N211" s="987"/>
      <c r="O211" s="987"/>
      <c r="P211" s="987"/>
      <c r="Q211" s="987"/>
      <c r="R211" s="987"/>
      <c r="S211" s="987"/>
      <c r="T211" s="987"/>
      <c r="U211" s="987"/>
      <c r="V211" s="987"/>
      <c r="W211" s="987"/>
      <c r="X211" s="987"/>
      <c r="Y211" s="987"/>
      <c r="Z211" s="987"/>
      <c r="AA211" s="987"/>
      <c r="AB211" s="987"/>
      <c r="AC211" s="987"/>
      <c r="AD211" s="987"/>
      <c r="AE211" s="987"/>
      <c r="AF211" s="987"/>
      <c r="AG211" s="987"/>
      <c r="AH211" s="987"/>
      <c r="AI211" s="987"/>
      <c r="AJ211" s="988"/>
      <c r="AK211" s="414" t="str">
        <f>IF(Y25="○","○",IF(AA25="○","○","×"))</f>
        <v>×</v>
      </c>
      <c r="AL211" s="160"/>
    </row>
    <row r="212" spans="1:56">
      <c r="A212" s="160"/>
      <c r="B212" s="415" t="s">
        <v>2240</v>
      </c>
      <c r="C212" s="986" t="s">
        <v>2133</v>
      </c>
      <c r="D212" s="987"/>
      <c r="E212" s="987"/>
      <c r="F212" s="987"/>
      <c r="G212" s="987"/>
      <c r="H212" s="987"/>
      <c r="I212" s="987"/>
      <c r="J212" s="987"/>
      <c r="K212" s="987"/>
      <c r="L212" s="987"/>
      <c r="M212" s="987"/>
      <c r="N212" s="987"/>
      <c r="O212" s="987"/>
      <c r="P212" s="987"/>
      <c r="Q212" s="987"/>
      <c r="R212" s="987"/>
      <c r="S212" s="987"/>
      <c r="T212" s="987"/>
      <c r="U212" s="987"/>
      <c r="V212" s="987"/>
      <c r="W212" s="987"/>
      <c r="X212" s="987"/>
      <c r="Y212" s="987"/>
      <c r="Z212" s="987"/>
      <c r="AA212" s="987"/>
      <c r="AB212" s="987"/>
      <c r="AC212" s="987"/>
      <c r="AD212" s="987"/>
      <c r="AE212" s="987"/>
      <c r="AF212" s="987"/>
      <c r="AG212" s="987"/>
      <c r="AH212" s="987"/>
      <c r="AI212" s="987"/>
      <c r="AJ212" s="988"/>
      <c r="AK212" s="414" t="str">
        <f>AB37</f>
        <v>×</v>
      </c>
      <c r="AL212" s="160"/>
    </row>
    <row r="213" spans="1:56">
      <c r="A213" s="160"/>
      <c r="B213" s="416" t="s">
        <v>2241</v>
      </c>
      <c r="C213" s="1037" t="s">
        <v>2134</v>
      </c>
      <c r="D213" s="1038"/>
      <c r="E213" s="1038"/>
      <c r="F213" s="1038"/>
      <c r="G213" s="1038"/>
      <c r="H213" s="1038"/>
      <c r="I213" s="1038"/>
      <c r="J213" s="1038"/>
      <c r="K213" s="1038"/>
      <c r="L213" s="1038"/>
      <c r="M213" s="1038"/>
      <c r="N213" s="1038"/>
      <c r="O213" s="1038"/>
      <c r="P213" s="1038"/>
      <c r="Q213" s="1038"/>
      <c r="R213" s="1038"/>
      <c r="S213" s="1038"/>
      <c r="T213" s="1038"/>
      <c r="U213" s="1038"/>
      <c r="V213" s="1038"/>
      <c r="W213" s="1038"/>
      <c r="X213" s="1038"/>
      <c r="Y213" s="1038"/>
      <c r="Z213" s="1038"/>
      <c r="AA213" s="1038"/>
      <c r="AB213" s="1038"/>
      <c r="AC213" s="1038"/>
      <c r="AD213" s="1038"/>
      <c r="AE213" s="1038"/>
      <c r="AF213" s="1038"/>
      <c r="AG213" s="1038"/>
      <c r="AH213" s="1038"/>
      <c r="AI213" s="1038"/>
      <c r="AJ213" s="1039"/>
      <c r="AK213" s="414" t="str">
        <f>AK42</f>
        <v>×</v>
      </c>
      <c r="AL213" s="160"/>
      <c r="AN213" s="377"/>
      <c r="AO213" s="377"/>
      <c r="AP213" s="377"/>
      <c r="AQ213" s="377"/>
      <c r="AR213" s="377"/>
      <c r="AS213" s="377"/>
      <c r="AT213" s="377"/>
      <c r="AU213" s="377"/>
      <c r="AV213" s="377"/>
      <c r="AW213" s="377"/>
      <c r="AX213" s="377"/>
      <c r="AY213" s="377"/>
      <c r="AZ213" s="377"/>
      <c r="BA213" s="377"/>
      <c r="BB213" s="377"/>
      <c r="BC213" s="377"/>
      <c r="BD213" s="377"/>
    </row>
    <row r="214" spans="1:56" ht="8.25" customHeight="1">
      <c r="A214" s="160"/>
      <c r="B214" s="160"/>
      <c r="C214" s="160"/>
      <c r="D214" s="160"/>
      <c r="E214" s="160"/>
      <c r="F214" s="160"/>
      <c r="G214" s="160"/>
      <c r="H214" s="160"/>
      <c r="I214" s="160"/>
      <c r="J214" s="160"/>
      <c r="K214" s="160"/>
      <c r="L214" s="160"/>
      <c r="M214" s="160"/>
      <c r="N214" s="160"/>
      <c r="O214" s="160"/>
      <c r="P214" s="160"/>
      <c r="Q214" s="160"/>
      <c r="R214" s="160"/>
      <c r="S214" s="160"/>
      <c r="T214" s="160"/>
      <c r="U214" s="160"/>
      <c r="V214" s="160"/>
      <c r="W214" s="160"/>
      <c r="X214" s="160"/>
      <c r="Y214" s="160"/>
      <c r="Z214" s="160"/>
      <c r="AA214" s="160"/>
      <c r="AB214" s="160"/>
      <c r="AC214" s="160"/>
      <c r="AD214" s="160"/>
      <c r="AE214" s="160"/>
      <c r="AF214" s="160"/>
      <c r="AG214" s="160"/>
      <c r="AH214" s="160"/>
      <c r="AI214" s="160"/>
      <c r="AJ214" s="160"/>
      <c r="AK214" s="160"/>
      <c r="AL214" s="160"/>
      <c r="AN214" s="377"/>
      <c r="AO214" s="377"/>
      <c r="AP214" s="377"/>
      <c r="AQ214" s="377"/>
      <c r="AR214" s="377"/>
      <c r="AS214" s="377"/>
      <c r="AT214" s="377"/>
      <c r="AU214" s="377"/>
      <c r="AV214" s="377"/>
      <c r="AW214" s="377"/>
      <c r="AX214" s="377"/>
      <c r="AY214" s="377"/>
      <c r="AZ214" s="377"/>
      <c r="BA214" s="377"/>
      <c r="BB214" s="377"/>
      <c r="BC214" s="377"/>
      <c r="BD214" s="377"/>
    </row>
    <row r="215" spans="1:56" s="377" customFormat="1" ht="15" customHeight="1">
      <c r="A215" s="373"/>
      <c r="B215" s="1034" t="s">
        <v>2128</v>
      </c>
      <c r="C215" s="1034"/>
      <c r="D215" s="1034"/>
      <c r="E215" s="1034"/>
      <c r="F215" s="1034"/>
      <c r="G215" s="1034"/>
      <c r="H215" s="1034"/>
      <c r="I215" s="1034"/>
      <c r="J215" s="1034"/>
      <c r="K215" s="1034"/>
      <c r="L215" s="1034"/>
      <c r="M215" s="1034"/>
      <c r="N215" s="1034"/>
      <c r="O215" s="1034"/>
      <c r="P215" s="1034"/>
      <c r="Q215" s="1034"/>
      <c r="R215" s="1034"/>
      <c r="S215" s="1034"/>
      <c r="T215" s="1034"/>
      <c r="U215" s="1034"/>
      <c r="V215" s="1034"/>
      <c r="W215" s="1034"/>
      <c r="X215" s="1034"/>
      <c r="Y215" s="1034"/>
      <c r="Z215" s="1034"/>
      <c r="AA215" s="1034"/>
      <c r="AB215" s="1034"/>
      <c r="AC215" s="1034"/>
      <c r="AD215" s="1034"/>
      <c r="AE215" s="1034"/>
      <c r="AF215" s="1034"/>
      <c r="AG215" s="1034"/>
      <c r="AH215" s="1034"/>
      <c r="AI215" s="1034"/>
      <c r="AJ215" s="1034"/>
      <c r="AK215" s="1034"/>
      <c r="AL215" s="160"/>
      <c r="AM215" s="163"/>
    </row>
    <row r="216" spans="1:56" s="377" customFormat="1">
      <c r="A216" s="373"/>
      <c r="B216" s="417" t="s">
        <v>179</v>
      </c>
      <c r="C216" s="828" t="s">
        <v>2141</v>
      </c>
      <c r="D216" s="829"/>
      <c r="E216" s="829"/>
      <c r="F216" s="829"/>
      <c r="G216" s="829"/>
      <c r="H216" s="829"/>
      <c r="I216" s="830"/>
      <c r="J216" s="1141" t="s">
        <v>2165</v>
      </c>
      <c r="K216" s="1141"/>
      <c r="L216" s="1141"/>
      <c r="M216" s="1141"/>
      <c r="N216" s="1141"/>
      <c r="O216" s="1141"/>
      <c r="P216" s="1141"/>
      <c r="Q216" s="1141"/>
      <c r="R216" s="1141"/>
      <c r="S216" s="1141"/>
      <c r="T216" s="1141"/>
      <c r="U216" s="1141"/>
      <c r="V216" s="1141"/>
      <c r="W216" s="1141"/>
      <c r="X216" s="1141"/>
      <c r="Y216" s="1141"/>
      <c r="Z216" s="1141"/>
      <c r="AA216" s="1141"/>
      <c r="AB216" s="1141"/>
      <c r="AC216" s="1141"/>
      <c r="AD216" s="1141"/>
      <c r="AE216" s="1141"/>
      <c r="AF216" s="1141"/>
      <c r="AG216" s="1141"/>
      <c r="AH216" s="1141"/>
      <c r="AI216" s="1141"/>
      <c r="AJ216" s="1142"/>
      <c r="AK216" s="414" t="str">
        <f>AH68</f>
        <v/>
      </c>
      <c r="AL216" s="418"/>
      <c r="AM216" s="163"/>
      <c r="AN216" s="171"/>
      <c r="AO216" s="171"/>
      <c r="AP216" s="171"/>
      <c r="AQ216" s="171"/>
      <c r="AR216" s="171"/>
      <c r="AS216" s="171"/>
      <c r="AT216" s="171"/>
      <c r="AU216" s="171"/>
      <c r="AV216" s="171"/>
      <c r="AW216" s="171"/>
      <c r="AX216" s="171"/>
      <c r="AY216" s="171"/>
      <c r="AZ216" s="171"/>
      <c r="BA216" s="171"/>
      <c r="BB216" s="171"/>
      <c r="BC216" s="171"/>
      <c r="BD216" s="171"/>
    </row>
    <row r="217" spans="1:56" s="377" customFormat="1" ht="27" customHeight="1">
      <c r="A217" s="373"/>
      <c r="B217" s="1137" t="s">
        <v>2346</v>
      </c>
      <c r="C217" s="1139" t="s">
        <v>2145</v>
      </c>
      <c r="D217" s="1139"/>
      <c r="E217" s="1139"/>
      <c r="F217" s="1139"/>
      <c r="G217" s="1139"/>
      <c r="H217" s="1139"/>
      <c r="I217" s="1139"/>
      <c r="J217" s="1145" t="s">
        <v>2152</v>
      </c>
      <c r="K217" s="1145"/>
      <c r="L217" s="1145"/>
      <c r="M217" s="1145"/>
      <c r="N217" s="1145"/>
      <c r="O217" s="1145"/>
      <c r="P217" s="1145"/>
      <c r="Q217" s="1145"/>
      <c r="R217" s="1145"/>
      <c r="S217" s="1145"/>
      <c r="T217" s="1145"/>
      <c r="U217" s="1145"/>
      <c r="V217" s="1145"/>
      <c r="W217" s="1145"/>
      <c r="X217" s="1145"/>
      <c r="Y217" s="1145"/>
      <c r="Z217" s="1145"/>
      <c r="AA217" s="1145"/>
      <c r="AB217" s="1145"/>
      <c r="AC217" s="1145"/>
      <c r="AD217" s="1145"/>
      <c r="AE217" s="1145"/>
      <c r="AF217" s="1145"/>
      <c r="AG217" s="1145"/>
      <c r="AH217" s="1145"/>
      <c r="AI217" s="1145"/>
      <c r="AJ217" s="1146"/>
      <c r="AK217" s="414" t="str">
        <f>Z75</f>
        <v/>
      </c>
      <c r="AL217" s="419"/>
      <c r="AM217" s="163"/>
      <c r="AN217" s="171"/>
      <c r="AO217" s="171"/>
      <c r="AP217" s="171"/>
      <c r="AQ217" s="171"/>
      <c r="AR217" s="171"/>
      <c r="AS217" s="171"/>
      <c r="AT217" s="171"/>
      <c r="AU217" s="171"/>
      <c r="AV217" s="171"/>
      <c r="AW217" s="171"/>
      <c r="AX217" s="171"/>
      <c r="AY217" s="171"/>
      <c r="AZ217" s="171"/>
      <c r="BA217" s="171"/>
      <c r="BB217" s="171"/>
      <c r="BC217" s="171"/>
      <c r="BD217" s="171"/>
    </row>
    <row r="218" spans="1:56" s="377" customFormat="1" ht="26.25" customHeight="1">
      <c r="A218" s="373"/>
      <c r="B218" s="1137"/>
      <c r="C218" s="1139"/>
      <c r="D218" s="1139"/>
      <c r="E218" s="1139"/>
      <c r="F218" s="1139"/>
      <c r="G218" s="1139"/>
      <c r="H218" s="1139"/>
      <c r="I218" s="1139"/>
      <c r="J218" s="1145" t="s">
        <v>2149</v>
      </c>
      <c r="K218" s="1145"/>
      <c r="L218" s="1145"/>
      <c r="M218" s="1145"/>
      <c r="N218" s="1145"/>
      <c r="O218" s="1145"/>
      <c r="P218" s="1145"/>
      <c r="Q218" s="1145"/>
      <c r="R218" s="1145"/>
      <c r="S218" s="1145"/>
      <c r="T218" s="1145"/>
      <c r="U218" s="1145"/>
      <c r="V218" s="1145"/>
      <c r="W218" s="1145"/>
      <c r="X218" s="1145"/>
      <c r="Y218" s="1145"/>
      <c r="Z218" s="1145"/>
      <c r="AA218" s="1145"/>
      <c r="AB218" s="1145"/>
      <c r="AC218" s="1145"/>
      <c r="AD218" s="1145"/>
      <c r="AE218" s="1145"/>
      <c r="AF218" s="1145"/>
      <c r="AG218" s="1145"/>
      <c r="AH218" s="1145"/>
      <c r="AI218" s="1145"/>
      <c r="AJ218" s="1146"/>
      <c r="AK218" s="414" t="str">
        <f>AB79</f>
        <v/>
      </c>
      <c r="AL218" s="419"/>
      <c r="AM218" s="163"/>
      <c r="AN218" s="171"/>
      <c r="AO218" s="171"/>
      <c r="AP218" s="171"/>
      <c r="AQ218" s="171"/>
      <c r="AR218" s="171"/>
      <c r="AS218" s="171"/>
      <c r="AT218" s="171"/>
      <c r="AU218" s="171"/>
      <c r="AV218" s="171"/>
      <c r="AW218" s="171"/>
      <c r="AX218" s="171"/>
      <c r="AY218" s="171"/>
      <c r="AZ218" s="171"/>
      <c r="BA218" s="171"/>
      <c r="BB218" s="171"/>
      <c r="BC218" s="171"/>
      <c r="BD218" s="171"/>
    </row>
    <row r="219" spans="1:56" s="377" customFormat="1">
      <c r="A219" s="373"/>
      <c r="B219" s="1137"/>
      <c r="C219" s="1139"/>
      <c r="D219" s="1139"/>
      <c r="E219" s="1139"/>
      <c r="F219" s="1139"/>
      <c r="G219" s="1139"/>
      <c r="H219" s="1139"/>
      <c r="I219" s="1139"/>
      <c r="J219" s="1141" t="s">
        <v>2146</v>
      </c>
      <c r="K219" s="1141"/>
      <c r="L219" s="1141"/>
      <c r="M219" s="1141"/>
      <c r="N219" s="1141"/>
      <c r="O219" s="1141"/>
      <c r="P219" s="1141"/>
      <c r="Q219" s="1141"/>
      <c r="R219" s="1141"/>
      <c r="S219" s="1141"/>
      <c r="T219" s="1141"/>
      <c r="U219" s="1141"/>
      <c r="V219" s="1141"/>
      <c r="W219" s="1141"/>
      <c r="X219" s="1141"/>
      <c r="Y219" s="1141"/>
      <c r="Z219" s="1141"/>
      <c r="AA219" s="1141"/>
      <c r="AB219" s="1141"/>
      <c r="AC219" s="1141"/>
      <c r="AD219" s="1141"/>
      <c r="AE219" s="1141"/>
      <c r="AF219" s="1141"/>
      <c r="AG219" s="1141"/>
      <c r="AH219" s="1141"/>
      <c r="AI219" s="1141"/>
      <c r="AJ219" s="1142"/>
      <c r="AK219" s="414" t="str">
        <f>AI82</f>
        <v/>
      </c>
      <c r="AL219" s="419"/>
      <c r="AM219" s="163"/>
    </row>
    <row r="220" spans="1:56" s="377" customFormat="1" ht="25.5" customHeight="1">
      <c r="A220" s="373"/>
      <c r="B220" s="1137"/>
      <c r="C220" s="1139"/>
      <c r="D220" s="1139"/>
      <c r="E220" s="1139"/>
      <c r="F220" s="1139"/>
      <c r="G220" s="1139"/>
      <c r="H220" s="1139"/>
      <c r="I220" s="1139"/>
      <c r="J220" s="1145" t="s">
        <v>2147</v>
      </c>
      <c r="K220" s="1145"/>
      <c r="L220" s="1145"/>
      <c r="M220" s="1145"/>
      <c r="N220" s="1145"/>
      <c r="O220" s="1145"/>
      <c r="P220" s="1145"/>
      <c r="Q220" s="1145"/>
      <c r="R220" s="1145"/>
      <c r="S220" s="1145"/>
      <c r="T220" s="1145"/>
      <c r="U220" s="1145"/>
      <c r="V220" s="1145"/>
      <c r="W220" s="1145"/>
      <c r="X220" s="1145"/>
      <c r="Y220" s="1145"/>
      <c r="Z220" s="1145"/>
      <c r="AA220" s="1145"/>
      <c r="AB220" s="1145"/>
      <c r="AC220" s="1145"/>
      <c r="AD220" s="1145"/>
      <c r="AE220" s="1145"/>
      <c r="AF220" s="1145"/>
      <c r="AG220" s="1145"/>
      <c r="AH220" s="1145"/>
      <c r="AI220" s="1145"/>
      <c r="AJ220" s="1146"/>
      <c r="AK220" s="414" t="str">
        <f>AI87</f>
        <v/>
      </c>
      <c r="AL220" s="419"/>
      <c r="AM220" s="163"/>
    </row>
    <row r="221" spans="1:56" s="377" customFormat="1" ht="48.75" customHeight="1">
      <c r="A221" s="373"/>
      <c r="B221" s="1137" t="s">
        <v>2241</v>
      </c>
      <c r="C221" s="1139" t="s">
        <v>2136</v>
      </c>
      <c r="D221" s="1139"/>
      <c r="E221" s="1139"/>
      <c r="F221" s="1139"/>
      <c r="G221" s="1139"/>
      <c r="H221" s="1139"/>
      <c r="I221" s="1139"/>
      <c r="J221" s="1145" t="s">
        <v>2153</v>
      </c>
      <c r="K221" s="1145"/>
      <c r="L221" s="1145"/>
      <c r="M221" s="1145"/>
      <c r="N221" s="1145"/>
      <c r="O221" s="1145"/>
      <c r="P221" s="1145"/>
      <c r="Q221" s="1145"/>
      <c r="R221" s="1145"/>
      <c r="S221" s="1145"/>
      <c r="T221" s="1145"/>
      <c r="U221" s="1145"/>
      <c r="V221" s="1145"/>
      <c r="W221" s="1145"/>
      <c r="X221" s="1145"/>
      <c r="Y221" s="1145"/>
      <c r="Z221" s="1145"/>
      <c r="AA221" s="1145"/>
      <c r="AB221" s="1145"/>
      <c r="AC221" s="1145"/>
      <c r="AD221" s="1145"/>
      <c r="AE221" s="1145"/>
      <c r="AF221" s="1145"/>
      <c r="AG221" s="1145"/>
      <c r="AH221" s="1145"/>
      <c r="AI221" s="1145"/>
      <c r="AJ221" s="1146"/>
      <c r="AK221" s="414" t="str">
        <f>IF(AI93="該当",IF(AND(OR(T98="○",AK103="○"),OR(T106="○",AK114="○")),"○","×"),"")</f>
        <v/>
      </c>
      <c r="AL221" s="420"/>
      <c r="AM221" s="163"/>
      <c r="AN221" s="171"/>
      <c r="AO221" s="171"/>
      <c r="AP221" s="171"/>
      <c r="AQ221" s="171"/>
      <c r="AR221" s="171"/>
      <c r="AS221" s="171"/>
      <c r="AT221" s="171"/>
      <c r="AU221" s="171"/>
      <c r="AV221" s="171"/>
      <c r="AW221" s="171"/>
      <c r="AX221" s="171"/>
      <c r="AY221" s="171"/>
      <c r="AZ221" s="171"/>
      <c r="BA221" s="171"/>
      <c r="BB221" s="171"/>
      <c r="BC221" s="171"/>
      <c r="BD221" s="171"/>
    </row>
    <row r="222" spans="1:56" s="377" customFormat="1" ht="49.5" customHeight="1">
      <c r="A222" s="373"/>
      <c r="B222" s="1137"/>
      <c r="C222" s="1139"/>
      <c r="D222" s="1139"/>
      <c r="E222" s="1139"/>
      <c r="F222" s="1139"/>
      <c r="G222" s="1139"/>
      <c r="H222" s="1139"/>
      <c r="I222" s="1139"/>
      <c r="J222" s="1145" t="s">
        <v>2154</v>
      </c>
      <c r="K222" s="1145"/>
      <c r="L222" s="1145"/>
      <c r="M222" s="1145"/>
      <c r="N222" s="1145"/>
      <c r="O222" s="1145"/>
      <c r="P222" s="1145"/>
      <c r="Q222" s="1145"/>
      <c r="R222" s="1145"/>
      <c r="S222" s="1145"/>
      <c r="T222" s="1145"/>
      <c r="U222" s="1145"/>
      <c r="V222" s="1145"/>
      <c r="W222" s="1145"/>
      <c r="X222" s="1145"/>
      <c r="Y222" s="1145"/>
      <c r="Z222" s="1145"/>
      <c r="AA222" s="1145"/>
      <c r="AB222" s="1145"/>
      <c r="AC222" s="1145"/>
      <c r="AD222" s="1145"/>
      <c r="AE222" s="1145"/>
      <c r="AF222" s="1145"/>
      <c r="AG222" s="1145"/>
      <c r="AH222" s="1145"/>
      <c r="AI222" s="1145"/>
      <c r="AJ222" s="1146"/>
      <c r="AK222" s="414" t="str">
        <f>IF(AI95="該当",IF(OR(OR(T98="○",AK103="○"),OR(T106="○",AK114="○")),"○","×"),"")</f>
        <v>×</v>
      </c>
      <c r="AL222" s="420"/>
      <c r="AM222" s="163"/>
      <c r="AN222" s="171"/>
      <c r="AO222" s="171"/>
      <c r="AP222" s="171"/>
      <c r="AQ222" s="171"/>
      <c r="AR222" s="171"/>
      <c r="AS222" s="171"/>
      <c r="AT222" s="171"/>
      <c r="AU222" s="171"/>
      <c r="AV222" s="171"/>
      <c r="AW222" s="171"/>
      <c r="AX222" s="171"/>
      <c r="AY222" s="171"/>
      <c r="AZ222" s="171"/>
      <c r="BA222" s="171"/>
      <c r="BB222" s="171"/>
      <c r="BC222" s="171"/>
      <c r="BD222" s="171"/>
    </row>
    <row r="223" spans="1:56" s="171" customFormat="1" ht="26.25" customHeight="1">
      <c r="A223" s="170"/>
      <c r="B223" s="415" t="s">
        <v>2347</v>
      </c>
      <c r="C223" s="1139" t="s">
        <v>2137</v>
      </c>
      <c r="D223" s="1139"/>
      <c r="E223" s="1139"/>
      <c r="F223" s="1139"/>
      <c r="G223" s="1139"/>
      <c r="H223" s="1139"/>
      <c r="I223" s="1139"/>
      <c r="J223" s="1145" t="s">
        <v>2155</v>
      </c>
      <c r="K223" s="1145"/>
      <c r="L223" s="1145"/>
      <c r="M223" s="1145"/>
      <c r="N223" s="1145"/>
      <c r="O223" s="1145"/>
      <c r="P223" s="1145"/>
      <c r="Q223" s="1145"/>
      <c r="R223" s="1145"/>
      <c r="S223" s="1145"/>
      <c r="T223" s="1145"/>
      <c r="U223" s="1145"/>
      <c r="V223" s="1145"/>
      <c r="W223" s="1145"/>
      <c r="X223" s="1145"/>
      <c r="Y223" s="1145"/>
      <c r="Z223" s="1145"/>
      <c r="AA223" s="1145"/>
      <c r="AB223" s="1145"/>
      <c r="AC223" s="1145"/>
      <c r="AD223" s="1145"/>
      <c r="AE223" s="1145"/>
      <c r="AF223" s="1145"/>
      <c r="AG223" s="1145"/>
      <c r="AH223" s="1145"/>
      <c r="AI223" s="1145"/>
      <c r="AJ223" s="1146"/>
      <c r="AK223" s="414" t="str">
        <f>IF(AM116="記入不要","",IF(OR(S118="○",AK125="○"),"○","×"))</f>
        <v/>
      </c>
      <c r="AL223" s="160"/>
      <c r="AM223" s="163"/>
    </row>
    <row r="224" spans="1:56" s="171" customFormat="1" ht="36" customHeight="1">
      <c r="A224" s="170"/>
      <c r="B224" s="415" t="s">
        <v>2348</v>
      </c>
      <c r="C224" s="1139" t="s">
        <v>2138</v>
      </c>
      <c r="D224" s="1139"/>
      <c r="E224" s="1139"/>
      <c r="F224" s="1139"/>
      <c r="G224" s="1139"/>
      <c r="H224" s="1139"/>
      <c r="I224" s="1139"/>
      <c r="J224" s="1145" t="s">
        <v>2156</v>
      </c>
      <c r="K224" s="1145"/>
      <c r="L224" s="1145"/>
      <c r="M224" s="1145"/>
      <c r="N224" s="1145"/>
      <c r="O224" s="1145"/>
      <c r="P224" s="1145"/>
      <c r="Q224" s="1145"/>
      <c r="R224" s="1145"/>
      <c r="S224" s="1145"/>
      <c r="T224" s="1145"/>
      <c r="U224" s="1145"/>
      <c r="V224" s="1145"/>
      <c r="W224" s="1145"/>
      <c r="X224" s="1145"/>
      <c r="Y224" s="1145"/>
      <c r="Z224" s="1145"/>
      <c r="AA224" s="1145"/>
      <c r="AB224" s="1145"/>
      <c r="AC224" s="1145"/>
      <c r="AD224" s="1145"/>
      <c r="AE224" s="1145"/>
      <c r="AF224" s="1145"/>
      <c r="AG224" s="1145"/>
      <c r="AH224" s="1145"/>
      <c r="AI224" s="1145"/>
      <c r="AJ224" s="1146"/>
      <c r="AK224" s="414" t="str">
        <f>IF(OR(AND(S129&lt;&gt;"×",S130&lt;&gt;"×",S131&lt;&gt;"×"),AK133="○"),"○","×")</f>
        <v>○</v>
      </c>
      <c r="AL224" s="160"/>
      <c r="AM224" s="163"/>
    </row>
    <row r="225" spans="1:56" s="171" customFormat="1">
      <c r="A225" s="170"/>
      <c r="B225" s="415" t="s">
        <v>2349</v>
      </c>
      <c r="C225" s="1139" t="s">
        <v>2139</v>
      </c>
      <c r="D225" s="1139"/>
      <c r="E225" s="1139"/>
      <c r="F225" s="1139"/>
      <c r="G225" s="1139"/>
      <c r="H225" s="1139"/>
      <c r="I225" s="1139"/>
      <c r="J225" s="1141" t="s">
        <v>2157</v>
      </c>
      <c r="K225" s="1141"/>
      <c r="L225" s="1141"/>
      <c r="M225" s="1141"/>
      <c r="N225" s="1141"/>
      <c r="O225" s="1141"/>
      <c r="P225" s="1141"/>
      <c r="Q225" s="1141"/>
      <c r="R225" s="1141"/>
      <c r="S225" s="1141"/>
      <c r="T225" s="1141"/>
      <c r="U225" s="1141"/>
      <c r="V225" s="1141"/>
      <c r="W225" s="1141"/>
      <c r="X225" s="1141"/>
      <c r="Y225" s="1141"/>
      <c r="Z225" s="1141"/>
      <c r="AA225" s="1141"/>
      <c r="AB225" s="1141"/>
      <c r="AC225" s="1141"/>
      <c r="AD225" s="1141"/>
      <c r="AE225" s="1141"/>
      <c r="AF225" s="1141"/>
      <c r="AG225" s="1141"/>
      <c r="AH225" s="1141"/>
      <c r="AI225" s="1141"/>
      <c r="AJ225" s="1142"/>
      <c r="AK225" s="414" t="str">
        <f>IF(AND(S142="",S143=""),"",IF(AND(S142&lt;&gt;"×",S143&lt;&gt;"×"),"○","×"))</f>
        <v/>
      </c>
      <c r="AL225" s="420"/>
      <c r="AM225" s="163"/>
    </row>
    <row r="226" spans="1:56" s="171" customFormat="1">
      <c r="A226" s="170"/>
      <c r="B226" s="1137" t="s">
        <v>2350</v>
      </c>
      <c r="C226" s="1139" t="s">
        <v>2140</v>
      </c>
      <c r="D226" s="1139"/>
      <c r="E226" s="1139"/>
      <c r="F226" s="1139"/>
      <c r="G226" s="1139"/>
      <c r="H226" s="1139"/>
      <c r="I226" s="1139"/>
      <c r="J226" s="1141" t="s">
        <v>2158</v>
      </c>
      <c r="K226" s="1141"/>
      <c r="L226" s="1141"/>
      <c r="M226" s="1141"/>
      <c r="N226" s="1141"/>
      <c r="O226" s="1141"/>
      <c r="P226" s="1141"/>
      <c r="Q226" s="1141"/>
      <c r="R226" s="1141"/>
      <c r="S226" s="1141"/>
      <c r="T226" s="1141"/>
      <c r="U226" s="1141"/>
      <c r="V226" s="1141"/>
      <c r="W226" s="1141"/>
      <c r="X226" s="1141"/>
      <c r="Y226" s="1141"/>
      <c r="Z226" s="1141"/>
      <c r="AA226" s="1141"/>
      <c r="AB226" s="1141"/>
      <c r="AC226" s="1141"/>
      <c r="AD226" s="1141"/>
      <c r="AE226" s="1141"/>
      <c r="AF226" s="1141"/>
      <c r="AG226" s="1141"/>
      <c r="AH226" s="1141"/>
      <c r="AI226" s="1141"/>
      <c r="AJ226" s="1142"/>
      <c r="AK226" s="414" t="str">
        <f>AK153</f>
        <v>×</v>
      </c>
      <c r="AL226" s="160"/>
      <c r="AM226" s="163"/>
      <c r="AN226" s="163"/>
      <c r="AO226" s="163"/>
      <c r="AP226" s="163"/>
      <c r="AQ226" s="163"/>
      <c r="AR226" s="163"/>
      <c r="AS226" s="163"/>
      <c r="AT226" s="163"/>
      <c r="AU226" s="163"/>
      <c r="AV226" s="163"/>
      <c r="AW226" s="163"/>
      <c r="AX226" s="198"/>
      <c r="AY226" s="163"/>
      <c r="AZ226" s="163"/>
      <c r="BA226" s="163"/>
      <c r="BB226" s="163"/>
      <c r="BC226" s="163"/>
      <c r="BD226" s="163"/>
    </row>
    <row r="227" spans="1:56" s="171" customFormat="1">
      <c r="A227" s="170"/>
      <c r="B227" s="1138"/>
      <c r="C227" s="1140"/>
      <c r="D227" s="1140"/>
      <c r="E227" s="1140"/>
      <c r="F227" s="1140"/>
      <c r="G227" s="1140"/>
      <c r="H227" s="1140"/>
      <c r="I227" s="1140"/>
      <c r="J227" s="1143" t="s">
        <v>2159</v>
      </c>
      <c r="K227" s="1143"/>
      <c r="L227" s="1143"/>
      <c r="M227" s="1143"/>
      <c r="N227" s="1143"/>
      <c r="O227" s="1143"/>
      <c r="P227" s="1143"/>
      <c r="Q227" s="1143"/>
      <c r="R227" s="1143"/>
      <c r="S227" s="1143"/>
      <c r="T227" s="1143"/>
      <c r="U227" s="1143"/>
      <c r="V227" s="1143"/>
      <c r="W227" s="1143"/>
      <c r="X227" s="1143"/>
      <c r="Y227" s="1143"/>
      <c r="Z227" s="1143"/>
      <c r="AA227" s="1143"/>
      <c r="AB227" s="1143"/>
      <c r="AC227" s="1143"/>
      <c r="AD227" s="1143"/>
      <c r="AE227" s="1143"/>
      <c r="AF227" s="1143"/>
      <c r="AG227" s="1143"/>
      <c r="AH227" s="1143"/>
      <c r="AI227" s="1143"/>
      <c r="AJ227" s="1144"/>
      <c r="AK227" s="414" t="str">
        <f>AK180</f>
        <v/>
      </c>
      <c r="AL227" s="160"/>
      <c r="AM227" s="163"/>
      <c r="AN227" s="163"/>
      <c r="AO227" s="163"/>
      <c r="AP227" s="163"/>
      <c r="AQ227" s="163"/>
      <c r="AR227" s="163"/>
      <c r="AS227" s="163"/>
      <c r="AT227" s="163"/>
      <c r="AU227" s="163"/>
      <c r="AV227" s="163"/>
      <c r="AW227" s="163"/>
      <c r="AX227" s="198"/>
      <c r="AY227" s="163"/>
      <c r="AZ227" s="163"/>
      <c r="BA227" s="163"/>
      <c r="BB227" s="163"/>
      <c r="BC227" s="163"/>
      <c r="BD227" s="163"/>
    </row>
    <row r="228" spans="1:56" ht="7.5" customHeight="1">
      <c r="A228" s="160"/>
      <c r="B228" s="160"/>
      <c r="C228" s="160"/>
      <c r="D228" s="160"/>
      <c r="E228" s="160"/>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row>
    <row r="229" spans="1:56">
      <c r="A229" s="160"/>
      <c r="B229" s="1034" t="s">
        <v>2160</v>
      </c>
      <c r="C229" s="1034"/>
      <c r="D229" s="1034"/>
      <c r="E229" s="1034"/>
      <c r="F229" s="1034"/>
      <c r="G229" s="1034"/>
      <c r="H229" s="1034"/>
      <c r="I229" s="1034"/>
      <c r="J229" s="1034"/>
      <c r="K229" s="1034"/>
      <c r="L229" s="1034"/>
      <c r="M229" s="1034"/>
      <c r="N229" s="1034"/>
      <c r="O229" s="1034"/>
      <c r="P229" s="1034"/>
      <c r="Q229" s="1034"/>
      <c r="R229" s="1034"/>
      <c r="S229" s="1034"/>
      <c r="T229" s="1034"/>
      <c r="U229" s="1034"/>
      <c r="V229" s="1034"/>
      <c r="W229" s="1034"/>
      <c r="X229" s="1034"/>
      <c r="Y229" s="1034"/>
      <c r="Z229" s="1034"/>
      <c r="AA229" s="1034"/>
      <c r="AB229" s="1034"/>
      <c r="AC229" s="1034"/>
      <c r="AD229" s="1034"/>
      <c r="AE229" s="1034"/>
      <c r="AF229" s="1034"/>
      <c r="AG229" s="1034"/>
      <c r="AH229" s="1034"/>
      <c r="AI229" s="1034"/>
      <c r="AJ229" s="1034"/>
      <c r="AK229" s="1034"/>
      <c r="AL229" s="160"/>
    </row>
    <row r="230" spans="1:56">
      <c r="A230" s="160"/>
      <c r="B230" s="421" t="s">
        <v>2275</v>
      </c>
      <c r="C230" s="1220" t="s">
        <v>180</v>
      </c>
      <c r="D230" s="1220"/>
      <c r="E230" s="1220"/>
      <c r="F230" s="1220"/>
      <c r="G230" s="1220"/>
      <c r="H230" s="1220"/>
      <c r="I230" s="1220"/>
      <c r="J230" s="1220"/>
      <c r="K230" s="1220"/>
      <c r="L230" s="1220"/>
      <c r="M230" s="1220"/>
      <c r="N230" s="1220"/>
      <c r="O230" s="1220"/>
      <c r="P230" s="1220"/>
      <c r="Q230" s="1220"/>
      <c r="R230" s="1220"/>
      <c r="S230" s="1220"/>
      <c r="T230" s="1220"/>
      <c r="U230" s="1220"/>
      <c r="V230" s="1220"/>
      <c r="W230" s="1220"/>
      <c r="X230" s="1220"/>
      <c r="Y230" s="1220"/>
      <c r="Z230" s="1220"/>
      <c r="AA230" s="1220"/>
      <c r="AB230" s="1220"/>
      <c r="AC230" s="1220"/>
      <c r="AD230" s="1220"/>
      <c r="AE230" s="1220"/>
      <c r="AF230" s="1220"/>
      <c r="AG230" s="1220"/>
      <c r="AH230" s="1220"/>
      <c r="AI230" s="1220"/>
      <c r="AJ230" s="1221"/>
      <c r="AK230" s="414" t="str">
        <f>AK186</f>
        <v>×</v>
      </c>
      <c r="AL230" s="160"/>
    </row>
    <row r="231" spans="1:56" ht="13.5" customHeight="1">
      <c r="B231" s="422" t="s">
        <v>2275</v>
      </c>
      <c r="C231" s="1196" t="s">
        <v>2274</v>
      </c>
      <c r="D231" s="1196"/>
      <c r="E231" s="1196"/>
      <c r="F231" s="1196"/>
      <c r="G231" s="1196"/>
      <c r="H231" s="1196"/>
      <c r="I231" s="1196"/>
      <c r="J231" s="1196"/>
      <c r="K231" s="1196"/>
      <c r="L231" s="1196"/>
      <c r="M231" s="1196"/>
      <c r="N231" s="1196"/>
      <c r="O231" s="1196"/>
      <c r="P231" s="1196"/>
      <c r="Q231" s="1196"/>
      <c r="R231" s="1196"/>
      <c r="S231" s="1196"/>
      <c r="T231" s="1196"/>
      <c r="U231" s="1196"/>
      <c r="V231" s="1196"/>
      <c r="W231" s="1196"/>
      <c r="X231" s="1196"/>
      <c r="Y231" s="1196"/>
      <c r="Z231" s="1196"/>
      <c r="AA231" s="1196"/>
      <c r="AB231" s="1196"/>
      <c r="AC231" s="1196"/>
      <c r="AD231" s="1196"/>
      <c r="AE231" s="1196"/>
      <c r="AF231" s="1196"/>
      <c r="AG231" s="1196"/>
      <c r="AH231" s="1196"/>
      <c r="AI231" s="1196"/>
      <c r="AJ231" s="1197"/>
      <c r="AK231" s="414" t="str">
        <f>AK196</f>
        <v>×</v>
      </c>
      <c r="AL231" s="160"/>
    </row>
    <row r="232" spans="1:56" ht="4.5" customHeight="1">
      <c r="A232" s="160"/>
      <c r="B232" s="160"/>
      <c r="C232" s="160"/>
      <c r="D232" s="160"/>
      <c r="E232" s="160"/>
      <c r="F232" s="160"/>
      <c r="G232" s="160"/>
      <c r="H232" s="160"/>
      <c r="I232" s="160"/>
      <c r="J232" s="160"/>
      <c r="K232" s="160"/>
      <c r="L232" s="160"/>
      <c r="M232" s="160"/>
      <c r="N232" s="160"/>
      <c r="O232" s="160"/>
      <c r="P232" s="160"/>
      <c r="Q232" s="160"/>
      <c r="R232" s="160"/>
      <c r="S232" s="160"/>
      <c r="T232" s="160"/>
      <c r="U232" s="160"/>
      <c r="V232" s="160"/>
      <c r="W232" s="160"/>
      <c r="X232" s="160"/>
      <c r="Y232" s="160"/>
      <c r="Z232" s="160"/>
      <c r="AA232" s="160"/>
      <c r="AB232" s="160"/>
      <c r="AC232" s="160"/>
      <c r="AD232" s="160"/>
      <c r="AE232" s="160"/>
      <c r="AF232" s="160"/>
      <c r="AG232" s="160"/>
      <c r="AH232" s="160"/>
      <c r="AI232" s="160"/>
      <c r="AJ232" s="160"/>
      <c r="AK232" s="160"/>
      <c r="AL232" s="160"/>
    </row>
    <row r="246" spans="2:56">
      <c r="AN246" s="399"/>
      <c r="AO246" s="399"/>
      <c r="AP246" s="399"/>
      <c r="AQ246" s="399"/>
      <c r="AR246" s="399"/>
      <c r="AS246" s="399"/>
      <c r="AT246" s="399"/>
      <c r="AU246" s="399"/>
      <c r="AV246" s="399"/>
      <c r="AW246" s="399"/>
      <c r="AX246" s="399"/>
      <c r="AY246" s="399"/>
      <c r="AZ246" s="399"/>
      <c r="BA246" s="399"/>
      <c r="BB246" s="399"/>
      <c r="BC246" s="399"/>
      <c r="BD246" s="399"/>
    </row>
    <row r="247" spans="2:56" s="399" customFormat="1">
      <c r="B247" s="163"/>
      <c r="C247" s="163"/>
      <c r="D247" s="163"/>
      <c r="E247" s="163"/>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row>
    <row r="248" spans="2:56" s="399" customFormat="1">
      <c r="B248" s="163"/>
      <c r="C248" s="163"/>
      <c r="D248" s="163"/>
      <c r="E248" s="163"/>
      <c r="F248" s="163"/>
      <c r="G248" s="163"/>
      <c r="H248" s="163"/>
      <c r="I248" s="163"/>
      <c r="J248" s="163"/>
      <c r="K248" s="163"/>
      <c r="L248" s="163"/>
      <c r="M248" s="163"/>
      <c r="N248" s="163"/>
      <c r="O248" s="163"/>
      <c r="P248" s="163"/>
      <c r="Q248" s="163"/>
      <c r="R248" s="163"/>
      <c r="S248" s="163"/>
      <c r="T248" s="163"/>
      <c r="U248" s="163"/>
      <c r="V248" s="163"/>
      <c r="W248" s="163"/>
      <c r="X248" s="163"/>
      <c r="Y248" s="163"/>
      <c r="Z248" s="163"/>
      <c r="AA248" s="163"/>
      <c r="AB248" s="163"/>
      <c r="AC248" s="163"/>
      <c r="AD248" s="163"/>
      <c r="AE248" s="163"/>
      <c r="AF248" s="163"/>
      <c r="AG248" s="163"/>
      <c r="AH248" s="163"/>
      <c r="AI248" s="163"/>
      <c r="AJ248" s="163"/>
      <c r="AK248" s="163"/>
      <c r="AL248" s="163"/>
      <c r="AM248" s="163"/>
    </row>
    <row r="249" spans="2:56" s="399" customFormat="1">
      <c r="B249" s="163"/>
      <c r="C249" s="163"/>
      <c r="D249" s="163"/>
      <c r="E249" s="163"/>
      <c r="F249" s="163"/>
      <c r="G249" s="163"/>
      <c r="H249" s="163"/>
      <c r="I249" s="163"/>
      <c r="J249" s="163"/>
      <c r="K249" s="163"/>
      <c r="L249" s="163"/>
      <c r="M249" s="163"/>
      <c r="N249" s="163"/>
      <c r="O249" s="163"/>
      <c r="P249" s="163"/>
      <c r="Q249" s="163"/>
      <c r="R249" s="163"/>
      <c r="S249" s="163"/>
      <c r="T249" s="163"/>
      <c r="U249" s="163"/>
      <c r="V249" s="163"/>
      <c r="W249" s="163"/>
      <c r="X249" s="163"/>
      <c r="Y249" s="163"/>
      <c r="Z249" s="163"/>
      <c r="AA249" s="163"/>
      <c r="AB249" s="163"/>
      <c r="AC249" s="163"/>
      <c r="AD249" s="163"/>
      <c r="AE249" s="163"/>
      <c r="AF249" s="163"/>
      <c r="AG249" s="163"/>
      <c r="AH249" s="163"/>
      <c r="AI249" s="163"/>
      <c r="AJ249" s="163"/>
      <c r="AK249" s="163"/>
      <c r="AL249" s="163"/>
      <c r="AM249" s="163"/>
      <c r="AN249" s="163"/>
      <c r="AO249" s="163"/>
      <c r="AP249" s="163"/>
      <c r="AQ249" s="163"/>
      <c r="AR249" s="163"/>
      <c r="AS249" s="163"/>
      <c r="AT249" s="163"/>
      <c r="AU249" s="163"/>
      <c r="AV249" s="163"/>
      <c r="AW249" s="163"/>
      <c r="AX249" s="163"/>
      <c r="AY249" s="163"/>
      <c r="AZ249" s="163"/>
      <c r="BA249" s="163"/>
      <c r="BB249" s="163"/>
      <c r="BC249" s="163"/>
      <c r="BD249" s="163"/>
    </row>
  </sheetData>
  <sheetProtection algorithmName="SHA-512" hashValue="Yq7uPpOf343EXag/T80DxGttbfA8s9lrx/a+nar2xeVM/xTzsA5jx+h3EzihhzjBV/tK6jlJLkGZRjKevKUOTg==" saltValue="0BnVL1aeQb+wwuI2+XOZJw==" spinCount="100000" sheet="1" formatCells="0" formatColumns="0" formatRows="0" sort="0" autoFilter="0"/>
  <mergeCells count="349">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G168:AJ168"/>
    <mergeCell ref="G169:AK169"/>
    <mergeCell ref="B116:AK116"/>
    <mergeCell ref="B127:AK127"/>
    <mergeCell ref="B140:AK140"/>
    <mergeCell ref="C119:AK119"/>
    <mergeCell ref="C123:AK123"/>
    <mergeCell ref="M125:N125"/>
    <mergeCell ref="C86:D90"/>
    <mergeCell ref="O103:AJ103"/>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AN100:AP100"/>
    <mergeCell ref="AN108:AP108"/>
    <mergeCell ref="AN107:AP107"/>
    <mergeCell ref="AN118:AP118"/>
    <mergeCell ref="AN119:AP119"/>
    <mergeCell ref="AS107:AU107"/>
    <mergeCell ref="AS108:AU108"/>
    <mergeCell ref="AS117:AU117"/>
    <mergeCell ref="AS118:AU118"/>
    <mergeCell ref="AS119:AU119"/>
    <mergeCell ref="AN138:AY138"/>
    <mergeCell ref="B125:K125"/>
    <mergeCell ref="O114:AJ114"/>
    <mergeCell ref="J109:AK109"/>
    <mergeCell ref="I110:I111"/>
    <mergeCell ref="B107:B111"/>
    <mergeCell ref="B143:Q143"/>
    <mergeCell ref="C114:K114"/>
    <mergeCell ref="J111:AK111"/>
    <mergeCell ref="D107:AK107"/>
    <mergeCell ref="H108:H10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s>
  <phoneticPr fontId="11"/>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41:AK144">
    <cfRule type="expression" dxfId="93" priority="5">
      <formula>$AM$140="記入不要"</formula>
    </cfRule>
  </conditionalFormatting>
  <conditionalFormatting sqref="B147:AK148">
    <cfRule type="expression" dxfId="92" priority="266">
      <formula>$AI$147=""</formula>
    </cfRule>
  </conditionalFormatting>
  <conditionalFormatting sqref="B150:AK151">
    <cfRule type="expression" dxfId="91" priority="267">
      <formula>$AI$150=""</formula>
    </cfRule>
  </conditionalFormatting>
  <conditionalFormatting sqref="B179:AK182">
    <cfRule type="expression" dxfId="90" priority="85">
      <formula>$AI$147="該当"</formula>
    </cfRule>
  </conditionalFormatting>
  <conditionalFormatting sqref="C103:AK103">
    <cfRule type="expression" dxfId="89" priority="104">
      <formula>$T$98&lt;&gt;"×"</formula>
    </cfRule>
  </conditionalFormatting>
  <conditionalFormatting sqref="C114:AK114">
    <cfRule type="expression" dxfId="88" priority="103">
      <formula>$T$106&lt;&gt;"×"</formula>
    </cfRule>
  </conditionalFormatting>
  <conditionalFormatting sqref="S118">
    <cfRule type="expression" dxfId="87" priority="98">
      <formula>$S$118="○"</formula>
    </cfRule>
  </conditionalFormatting>
  <conditionalFormatting sqref="S129">
    <cfRule type="expression" dxfId="86" priority="96">
      <formula>$S$129="○"</formula>
    </cfRule>
  </conditionalFormatting>
  <conditionalFormatting sqref="S130">
    <cfRule type="expression" dxfId="85" priority="95">
      <formula>$S$130="○"</formula>
    </cfRule>
  </conditionalFormatting>
  <conditionalFormatting sqref="S131">
    <cfRule type="expression" dxfId="84" priority="94">
      <formula>$S$131="○"</formula>
    </cfRule>
  </conditionalFormatting>
  <conditionalFormatting sqref="T98">
    <cfRule type="expression" dxfId="83" priority="101">
      <formula>$T$98="○"</formula>
    </cfRule>
  </conditionalFormatting>
  <conditionalFormatting sqref="T106">
    <cfRule type="expression" dxfId="82" priority="99">
      <formula>$T$106="○"</formula>
    </cfRule>
  </conditionalFormatting>
  <conditionalFormatting sqref="X20:Y20">
    <cfRule type="expression" dxfId="81" priority="69">
      <formula>$Y$20&lt;&gt;"×"</formula>
    </cfRule>
  </conditionalFormatting>
  <conditionalFormatting sqref="Y25:Y26">
    <cfRule type="expression" dxfId="80" priority="74">
      <formula>$Y$25="○"</formula>
    </cfRule>
  </conditionalFormatting>
  <conditionalFormatting sqref="Z25:Z27">
    <cfRule type="expression" dxfId="79" priority="72">
      <formula>$Y$25="○"</formula>
    </cfRule>
  </conditionalFormatting>
  <conditionalFormatting sqref="AM20:AY20">
    <cfRule type="expression" dxfId="78" priority="68">
      <formula>$Y$20&lt;&gt;"×"</formula>
    </cfRule>
  </conditionalFormatting>
  <conditionalFormatting sqref="AA25:AA28">
    <cfRule type="expression" dxfId="77" priority="70">
      <formula>$Y$25="○"</formula>
    </cfRule>
  </conditionalFormatting>
  <conditionalFormatting sqref="AK209:AK213 AK216:AK227 AK230:AK231">
    <cfRule type="expression" dxfId="76" priority="29">
      <formula>$AK209=""</formula>
    </cfRule>
  </conditionalFormatting>
  <conditionalFormatting sqref="AM21:AY21">
    <cfRule type="expression" dxfId="75" priority="19">
      <formula>$Y$21="○"</formula>
    </cfRule>
  </conditionalFormatting>
  <conditionalFormatting sqref="AM27:AY28">
    <cfRule type="expression" dxfId="74" priority="18">
      <formula>OR($Y$25="○",$AA$25="○")</formula>
    </cfRule>
  </conditionalFormatting>
  <conditionalFormatting sqref="AM37:AY37">
    <cfRule type="expression" dxfId="73" priority="65">
      <formula>$AB$37&lt;&gt;"×"</formula>
    </cfRule>
  </conditionalFormatting>
  <conditionalFormatting sqref="AM42:AY42">
    <cfRule type="expression" dxfId="72" priority="64">
      <formula>$AK$42&lt;&gt;"×"</formula>
    </cfRule>
  </conditionalFormatting>
  <conditionalFormatting sqref="AM44:AY44">
    <cfRule type="expression" dxfId="71" priority="46">
      <formula>OR(AND($AM$54=FALSE,$AE$44=""),AND($AN$54=TRUE,$AE$44&lt;&gt;""))</formula>
    </cfRule>
  </conditionalFormatting>
  <conditionalFormatting sqref="AM46:AY47">
    <cfRule type="expression" dxfId="70" priority="18472">
      <formula>OR(AND($AR$51=FALSE,$Y$46=""),AND($AR$51=TRUE,$Y$46&lt;&gt;""))</formula>
    </cfRule>
  </conditionalFormatting>
  <conditionalFormatting sqref="AM60:AY61">
    <cfRule type="expression" dxfId="69" priority="28">
      <formula>$AB$60="○"</formula>
    </cfRule>
  </conditionalFormatting>
  <conditionalFormatting sqref="AM67:AY67">
    <cfRule type="expression" dxfId="68" priority="10">
      <formula>$AH$67&lt;&gt;"×"</formula>
    </cfRule>
  </conditionalFormatting>
  <conditionalFormatting sqref="AM67:AY68">
    <cfRule type="expression" dxfId="67" priority="9">
      <formula>AND($AH$67&lt;&gt;"×",$AH$68&lt;&gt;"×")</formula>
    </cfRule>
  </conditionalFormatting>
  <conditionalFormatting sqref="AM68:AY68">
    <cfRule type="expression" dxfId="66" priority="60">
      <formula>$AH$68&lt;&gt;"×"</formula>
    </cfRule>
  </conditionalFormatting>
  <conditionalFormatting sqref="AM75:AY75">
    <cfRule type="expression" dxfId="65" priority="63">
      <formula>$Z$75&lt;&gt;"×"</formula>
    </cfRule>
  </conditionalFormatting>
  <conditionalFormatting sqref="AM82:AY83">
    <cfRule type="expression" dxfId="64" priority="18440">
      <formula>$AI$82&lt;&gt;"×"</formula>
    </cfRule>
  </conditionalFormatting>
  <conditionalFormatting sqref="AM87:AY88">
    <cfRule type="expression" dxfId="63" priority="18443">
      <formula>$AI$87&lt;&gt;"×"</formula>
    </cfRule>
  </conditionalFormatting>
  <conditionalFormatting sqref="AM103:AY103">
    <cfRule type="expression" dxfId="62" priority="55">
      <formula>OR($T$98="○",$AK$103="",$AK$103="○")</formula>
    </cfRule>
  </conditionalFormatting>
  <conditionalFormatting sqref="AM109:AY109">
    <cfRule type="expression" dxfId="61" priority="47">
      <formula>OR(AND($AR$107=FALSE,$J$109=""),AND($AR$107=TRUE,$J$109&lt;&gt;""))</formula>
    </cfRule>
  </conditionalFormatting>
  <conditionalFormatting sqref="AM111:AY111">
    <cfRule type="expression" dxfId="60" priority="48">
      <formula>OR(AND($AR$108=FALSE,$J$111=""),AND($AR$108=TRUE,$J$111&lt;&gt;""))</formula>
    </cfRule>
  </conditionalFormatting>
  <conditionalFormatting sqref="AM114:AY114">
    <cfRule type="expression" dxfId="59" priority="57">
      <formula>OR($T$106="○",$AK$114="○",$AK$114="")</formula>
    </cfRule>
  </conditionalFormatting>
  <conditionalFormatting sqref="AM120:AY122">
    <cfRule type="expression" dxfId="58" priority="51">
      <formula>OR(AND($AM$118=TRUE,OR($AR$117=TRUE,$AR$118=TRUE,$AR$119=TRUE)),$AK$125="○")</formula>
    </cfRule>
  </conditionalFormatting>
  <conditionalFormatting sqref="AM125:AY125">
    <cfRule type="expression" dxfId="57" priority="56">
      <formula>OR($S$118="○",$AK$125="○")</formula>
    </cfRule>
  </conditionalFormatting>
  <conditionalFormatting sqref="AN153:AY153">
    <cfRule type="expression" dxfId="56" priority="54">
      <formula>OR($AI$150="該当",AND($AI$147="該当",$AK$153="○"))</formula>
    </cfRule>
  </conditionalFormatting>
  <conditionalFormatting sqref="AN181:AY182">
    <cfRule type="expression" dxfId="55" priority="52">
      <formula>$AK$180&lt;&gt;"×"</formula>
    </cfRule>
  </conditionalFormatting>
  <conditionalFormatting sqref="AM186:AY186">
    <cfRule type="expression" dxfId="54" priority="53">
      <formula>$AK$186&lt;&gt;"×"</formula>
    </cfRule>
  </conditionalFormatting>
  <conditionalFormatting sqref="B133:AK138">
    <cfRule type="expression" dxfId="53" priority="18481">
      <formula>$AM$129&lt;&gt;"×"</formula>
    </cfRule>
  </conditionalFormatting>
  <conditionalFormatting sqref="AN138:AY138">
    <cfRule type="expression" dxfId="52" priority="8">
      <formula>OR(AND($AM$138=FALSE),AND($AM$138=TRUE,$F$138&lt;&gt;""))</formula>
    </cfRule>
  </conditionalFormatting>
  <conditionalFormatting sqref="S129:S131">
    <cfRule type="expression" dxfId="51" priority="7">
      <formula>$S129=""</formula>
    </cfRule>
  </conditionalFormatting>
  <conditionalFormatting sqref="S142:S144">
    <cfRule type="expression" dxfId="50" priority="6">
      <formula>$S142=""</formula>
    </cfRule>
  </conditionalFormatting>
  <conditionalFormatting sqref="AN155:AY156">
    <cfRule type="expression" dxfId="49" priority="18482">
      <formula>OR($AI$150="",AND($AI$150="該当",COUNTIF($AM$154:$AM$157,TRUE)&gt;=1))</formula>
    </cfRule>
  </conditionalFormatting>
  <conditionalFormatting sqref="AN159:AY160">
    <cfRule type="expression" dxfId="48" priority="18483">
      <formula>OR($AI$150="",AND($AI$150="該当",COUNTIF($AM$158:$AM$161,TRUE)&gt;=1))</formula>
    </cfRule>
  </conditionalFormatting>
  <conditionalFormatting sqref="AN163:AY164">
    <cfRule type="expression" dxfId="47" priority="18484">
      <formula>OR($AI$150="",AND($AI$150="該当",COUNTIF($AM$162:$AM$165,TRUE)&gt;=1))</formula>
    </cfRule>
  </conditionalFormatting>
  <conditionalFormatting sqref="AN167:AY168">
    <cfRule type="expression" dxfId="46" priority="18485">
      <formula>OR($AI$150="",AND($AI$150="該当",COUNTIF($AM$166:$AM$169,TRUE)&gt;=1))</formula>
    </cfRule>
  </conditionalFormatting>
  <conditionalFormatting sqref="AN171:AY172">
    <cfRule type="expression" dxfId="45" priority="18486">
      <formula>OR($AI$150="",AND($AI$150="該当",COUNTIF($AM$170:$AM$173,TRUE)&gt;=1))</formula>
    </cfRule>
  </conditionalFormatting>
  <conditionalFormatting sqref="AN175:AY176">
    <cfRule type="expression" dxfId="44" priority="18487">
      <formula>OR($AI$150="",AND($AI$150="該当",COUNTIF($AM$174:$AM$177,TRUE)&gt;=1))</formula>
    </cfRule>
  </conditionalFormatting>
  <conditionalFormatting sqref="AM20:AY21">
    <cfRule type="expression" dxfId="43" priority="2">
      <formula>AND($Y$20&lt;&gt;"×",$Y$21="○")</formula>
    </cfRule>
  </conditionalFormatting>
  <conditionalFormatting sqref="AM133:AY133">
    <cfRule type="expression" dxfId="42" priority="1">
      <formula>OR($AM$129&lt;&gt;"×",$AK$133="○")</formula>
    </cfRule>
  </conditionalFormatting>
  <dataValidations count="3">
    <dataValidation imeMode="halfAlpha" allowBlank="1" showInputMessage="1" showErrorMessage="1" sqref="K200:L200 E200:F200 H200:I200 B13 L13 Q43 AA43 T43 AD43" xr:uid="{00000000-0002-0000-0200-000000000000}"/>
    <dataValidation imeMode="hiragana" allowBlank="1" showInputMessage="1" showErrorMessage="1" sqref="X202:X203 T201 U46 T47 T45" xr:uid="{00000000-0002-0000-0200-000001000000}"/>
    <dataValidation type="list" allowBlank="1" showInputMessage="1" showErrorMessage="1" sqref="M54:O54"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mc:AlternateContent>
  <extLst>
    <ext xmlns:x14="http://schemas.microsoft.com/office/spreadsheetml/2009/9/main" uri="{78C0D931-6437-407d-A8EE-F0AAD7539E65}">
      <x14:conditionalFormattings>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HE314"/>
  <sheetViews>
    <sheetView view="pageBreakPreview" zoomScale="62" zoomScaleNormal="85" zoomScaleSheetLayoutView="62" zoomScalePageLayoutView="70" workbookViewId="0"/>
  </sheetViews>
  <sheetFormatPr defaultColWidth="2.5" defaultRowHeight="17.25"/>
  <cols>
    <col min="1" max="1" width="6.125" style="163" customWidth="1"/>
    <col min="2" max="6" width="2.625" style="598" customWidth="1"/>
    <col min="7" max="7" width="16.625" style="163" customWidth="1"/>
    <col min="8" max="8" width="11.125" style="163" customWidth="1"/>
    <col min="9" max="9" width="9.375" style="163" customWidth="1"/>
    <col min="10" max="10" width="15.875" style="163" customWidth="1"/>
    <col min="11" max="11" width="15.375" style="163" customWidth="1"/>
    <col min="12" max="12" width="11.875" style="163" customWidth="1"/>
    <col min="13" max="13" width="7.625" style="163" customWidth="1"/>
    <col min="14" max="14" width="20.375" style="163" customWidth="1"/>
    <col min="15" max="15" width="15.375" style="602" customWidth="1"/>
    <col min="16" max="16" width="7" style="603" customWidth="1"/>
    <col min="17" max="17" width="14.875" style="602" customWidth="1"/>
    <col min="18" max="18" width="7.25" style="603" customWidth="1"/>
    <col min="19" max="19" width="4.125" style="163" customWidth="1"/>
    <col min="20" max="20" width="3.625" style="163" customWidth="1"/>
    <col min="21" max="21" width="3.125" style="163" customWidth="1"/>
    <col min="22" max="22" width="3.625" style="163" customWidth="1"/>
    <col min="23" max="23" width="8.25" style="163" customWidth="1"/>
    <col min="24" max="24" width="3.625" style="163" customWidth="1"/>
    <col min="25" max="25" width="3.125" style="163" customWidth="1"/>
    <col min="26" max="26" width="3.625" style="163" customWidth="1"/>
    <col min="27" max="27" width="3.125" style="163" customWidth="1"/>
    <col min="28" max="28" width="2.5" style="163" customWidth="1"/>
    <col min="29" max="29" width="3.5" style="163" customWidth="1"/>
    <col min="30" max="30" width="5.5" style="163" customWidth="1"/>
    <col min="31" max="32" width="16.875" style="601" customWidth="1"/>
    <col min="33" max="33" width="14.125" style="601" customWidth="1"/>
    <col min="34" max="34" width="9.375" style="163" customWidth="1"/>
    <col min="35" max="35" width="13.125" style="163" customWidth="1"/>
    <col min="36" max="36" width="11.625" style="163" customWidth="1"/>
    <col min="37" max="37" width="13.375" style="163" customWidth="1"/>
    <col min="38" max="38" width="14.625" style="163" customWidth="1"/>
    <col min="39" max="39" width="25.5" style="273" customWidth="1"/>
    <col min="40" max="40" width="77.75" style="273" customWidth="1"/>
    <col min="41" max="41" width="9.25" style="273" customWidth="1"/>
    <col min="42" max="42" width="14.125" style="491" hidden="1" customWidth="1"/>
    <col min="43" max="43" width="25.125" style="428" hidden="1" customWidth="1"/>
    <col min="44" max="44" width="30.375" style="428" hidden="1" customWidth="1"/>
    <col min="45" max="48" width="6.625" style="428" hidden="1" customWidth="1"/>
    <col min="49" max="49" width="9.375" style="428" hidden="1" customWidth="1"/>
    <col min="50" max="50" width="6.625" style="428" hidden="1" customWidth="1"/>
    <col min="51" max="51" width="16.375" style="163" customWidth="1"/>
    <col min="52" max="16384" width="2.5" style="163"/>
  </cols>
  <sheetData>
    <row r="1" spans="1:213" ht="27.75" customHeight="1">
      <c r="A1" s="677" t="s">
        <v>2210</v>
      </c>
      <c r="B1" s="485"/>
      <c r="C1" s="485"/>
      <c r="D1" s="485"/>
      <c r="E1" s="485"/>
      <c r="F1" s="485"/>
      <c r="G1" s="162"/>
      <c r="H1" s="162"/>
      <c r="I1" s="162"/>
      <c r="J1" s="162"/>
      <c r="K1" s="162"/>
      <c r="L1" s="162"/>
      <c r="M1" s="162"/>
      <c r="N1" s="162"/>
      <c r="O1" s="486"/>
      <c r="P1" s="487"/>
      <c r="Q1" s="486"/>
      <c r="R1" s="487"/>
      <c r="S1" s="162"/>
      <c r="T1" s="162"/>
      <c r="U1" s="162"/>
      <c r="V1" s="162"/>
      <c r="W1" s="160"/>
      <c r="X1" s="160"/>
      <c r="Y1" s="160"/>
      <c r="Z1" s="160"/>
      <c r="AA1" s="160"/>
      <c r="AB1" s="160"/>
      <c r="AC1" s="160"/>
      <c r="AD1" s="160"/>
      <c r="AE1" s="488"/>
      <c r="AF1" s="488"/>
      <c r="AG1" s="488"/>
      <c r="AH1" s="160"/>
      <c r="AI1" s="160"/>
      <c r="AJ1" s="160"/>
      <c r="AK1" s="1314" t="s">
        <v>54</v>
      </c>
      <c r="AL1" s="1315"/>
      <c r="AM1" s="489" t="str">
        <f>IF(基本情報入力シート!C33="","",基本情報入力シート!C33)</f>
        <v/>
      </c>
      <c r="AN1" s="490"/>
      <c r="AO1" s="490"/>
    </row>
    <row r="2" spans="1:213" ht="13.5" customHeight="1" thickBot="1">
      <c r="A2" s="162"/>
      <c r="B2" s="486"/>
      <c r="C2" s="486"/>
      <c r="D2" s="486"/>
      <c r="E2" s="486"/>
      <c r="F2" s="486"/>
      <c r="G2" s="487"/>
      <c r="H2" s="487"/>
      <c r="I2" s="487"/>
      <c r="J2" s="487"/>
      <c r="K2" s="487"/>
      <c r="L2" s="487"/>
      <c r="M2" s="487"/>
      <c r="N2" s="487"/>
      <c r="O2" s="486"/>
      <c r="P2" s="487"/>
      <c r="Q2" s="486"/>
      <c r="R2" s="487"/>
      <c r="S2" s="487"/>
      <c r="T2" s="162"/>
      <c r="U2" s="162"/>
      <c r="V2" s="492"/>
      <c r="W2" s="492"/>
      <c r="X2" s="492"/>
      <c r="Y2" s="493"/>
      <c r="Z2" s="493"/>
      <c r="AA2" s="494"/>
      <c r="AB2" s="494"/>
      <c r="AC2" s="494"/>
      <c r="AD2" s="494"/>
      <c r="AE2" s="495"/>
      <c r="AF2" s="495"/>
      <c r="AG2" s="495"/>
      <c r="AH2" s="494"/>
      <c r="AI2" s="160"/>
      <c r="AJ2" s="160"/>
      <c r="AK2" s="160"/>
      <c r="AL2" s="160"/>
      <c r="AM2" s="271"/>
      <c r="AS2" s="163"/>
      <c r="AT2" s="163"/>
      <c r="AU2" s="163"/>
      <c r="AV2" s="163"/>
      <c r="AW2" s="163"/>
      <c r="AX2" s="163"/>
    </row>
    <row r="3" spans="1:213" ht="27" customHeight="1" thickBot="1">
      <c r="A3" s="1255" t="s">
        <v>5</v>
      </c>
      <c r="B3" s="1255"/>
      <c r="C3" s="1256"/>
      <c r="D3" s="1252" t="str">
        <f>IF(基本情報入力シート!M38="","",基本情報入力シート!M38)</f>
        <v/>
      </c>
      <c r="E3" s="1253"/>
      <c r="F3" s="1253"/>
      <c r="G3" s="1253"/>
      <c r="H3" s="1253"/>
      <c r="I3" s="1253"/>
      <c r="J3" s="1254"/>
      <c r="K3" s="161"/>
      <c r="L3" s="496"/>
      <c r="M3" s="496"/>
      <c r="N3" s="496"/>
      <c r="O3" s="486"/>
      <c r="P3" s="487"/>
      <c r="Q3" s="486"/>
      <c r="R3" s="487"/>
      <c r="S3" s="496"/>
      <c r="T3" s="162"/>
      <c r="U3" s="162"/>
      <c r="V3" s="492"/>
      <c r="W3" s="492"/>
      <c r="X3" s="492"/>
      <c r="Y3" s="492"/>
      <c r="Z3" s="492"/>
      <c r="AA3" s="162"/>
      <c r="AB3" s="162"/>
      <c r="AC3" s="162"/>
      <c r="AD3" s="162"/>
      <c r="AE3" s="495"/>
      <c r="AF3" s="495"/>
      <c r="AG3" s="495"/>
      <c r="AH3" s="162"/>
      <c r="AI3" s="160"/>
      <c r="AJ3" s="160"/>
      <c r="AK3" s="160"/>
      <c r="AL3" s="160"/>
      <c r="AM3" s="271"/>
      <c r="AS3" s="163"/>
      <c r="AT3" s="163"/>
      <c r="AU3" s="163"/>
      <c r="AV3" s="163"/>
      <c r="AW3" s="163"/>
      <c r="AX3" s="163"/>
    </row>
    <row r="4" spans="1:213" ht="12" customHeight="1" thickBot="1">
      <c r="A4" s="497"/>
      <c r="B4" s="498"/>
      <c r="C4" s="498"/>
      <c r="D4" s="499"/>
      <c r="E4" s="499"/>
      <c r="F4" s="499"/>
      <c r="G4" s="500"/>
      <c r="H4" s="500"/>
      <c r="I4" s="500"/>
      <c r="J4" s="500"/>
      <c r="K4" s="500"/>
      <c r="L4" s="496"/>
      <c r="M4" s="496"/>
      <c r="N4" s="160"/>
      <c r="O4" s="486"/>
      <c r="P4" s="487"/>
      <c r="Q4" s="486"/>
      <c r="R4" s="487"/>
      <c r="S4" s="496"/>
      <c r="T4" s="162"/>
      <c r="U4" s="162"/>
      <c r="V4" s="162"/>
      <c r="W4" s="162"/>
      <c r="X4" s="162"/>
      <c r="Y4" s="162"/>
      <c r="Z4" s="162"/>
      <c r="AA4" s="162"/>
      <c r="AB4" s="162"/>
      <c r="AC4" s="162"/>
      <c r="AD4" s="162"/>
      <c r="AE4" s="495"/>
      <c r="AF4" s="495"/>
      <c r="AG4" s="488"/>
      <c r="AH4" s="162"/>
      <c r="AI4" s="160"/>
      <c r="AJ4" s="160"/>
      <c r="AK4" s="160"/>
      <c r="AL4" s="160"/>
      <c r="AM4" s="271"/>
      <c r="AS4" s="163"/>
      <c r="AT4" s="163"/>
      <c r="AU4" s="163"/>
      <c r="AV4" s="163"/>
      <c r="AW4" s="163"/>
      <c r="AX4" s="163"/>
    </row>
    <row r="5" spans="1:213" ht="28.5" customHeight="1" thickBot="1">
      <c r="A5" s="1274" t="s">
        <v>2361</v>
      </c>
      <c r="B5" s="1275"/>
      <c r="C5" s="1275"/>
      <c r="D5" s="1275"/>
      <c r="E5" s="1275"/>
      <c r="F5" s="1275"/>
      <c r="G5" s="1275"/>
      <c r="H5" s="1275"/>
      <c r="I5" s="1275"/>
      <c r="J5" s="1276"/>
      <c r="K5" s="501">
        <f>IFERROR(SUMIF(N:N, "処遇改善加算", AE:AE),"")</f>
        <v>0</v>
      </c>
      <c r="L5" s="502" t="s">
        <v>1</v>
      </c>
      <c r="M5" s="496"/>
      <c r="N5" s="496"/>
      <c r="O5" s="503"/>
      <c r="P5" s="504"/>
      <c r="Q5" s="503"/>
      <c r="R5" s="504"/>
      <c r="S5" s="496"/>
      <c r="T5" s="496"/>
      <c r="U5" s="496"/>
      <c r="V5" s="496"/>
      <c r="W5" s="496"/>
      <c r="X5" s="496"/>
      <c r="Y5" s="496"/>
      <c r="Z5" s="496"/>
      <c r="AA5" s="496"/>
      <c r="AB5" s="496"/>
      <c r="AC5" s="496"/>
      <c r="AD5" s="496"/>
      <c r="AE5" s="505"/>
      <c r="AF5" s="505"/>
      <c r="AG5" s="488"/>
      <c r="AH5" s="160"/>
      <c r="AI5" s="160"/>
      <c r="AJ5" s="160"/>
      <c r="AK5" s="160"/>
      <c r="AL5" s="160"/>
      <c r="AM5" s="271"/>
      <c r="AP5" s="428"/>
      <c r="AS5" s="163"/>
      <c r="AT5" s="163"/>
      <c r="AU5" s="163"/>
      <c r="AV5" s="163"/>
      <c r="AW5" s="163"/>
      <c r="AX5" s="163"/>
    </row>
    <row r="6" spans="1:213" ht="28.5" customHeight="1" thickBot="1">
      <c r="A6" s="1274" t="s">
        <v>2362</v>
      </c>
      <c r="B6" s="1275"/>
      <c r="C6" s="1275"/>
      <c r="D6" s="1275"/>
      <c r="E6" s="1275"/>
      <c r="F6" s="1275"/>
      <c r="G6" s="1275"/>
      <c r="H6" s="1275"/>
      <c r="I6" s="1275"/>
      <c r="J6" s="1276"/>
      <c r="K6" s="134">
        <f>IFERROR(SUMIF(N:N, "特定加算", AE:AE),"")</f>
        <v>0</v>
      </c>
      <c r="L6" s="502" t="s">
        <v>1</v>
      </c>
      <c r="M6" s="496"/>
      <c r="N6" s="496"/>
      <c r="O6" s="503"/>
      <c r="P6" s="504"/>
      <c r="Q6" s="503"/>
      <c r="R6" s="504"/>
      <c r="S6" s="496"/>
      <c r="T6" s="496"/>
      <c r="U6" s="496"/>
      <c r="V6" s="496"/>
      <c r="W6" s="496"/>
      <c r="X6" s="496"/>
      <c r="Y6" s="496"/>
      <c r="Z6" s="496"/>
      <c r="AA6" s="496"/>
      <c r="AB6" s="496"/>
      <c r="AC6" s="496"/>
      <c r="AD6" s="496"/>
      <c r="AE6" s="505"/>
      <c r="AF6" s="505"/>
      <c r="AG6" s="506" t="s">
        <v>2114</v>
      </c>
      <c r="AH6" s="160"/>
      <c r="AI6" s="160"/>
      <c r="AJ6" s="160"/>
      <c r="AK6" s="160"/>
      <c r="AL6" s="160"/>
      <c r="AM6" s="271"/>
      <c r="AP6" s="507"/>
      <c r="AR6" s="491"/>
    </row>
    <row r="7" spans="1:213" ht="32.25" customHeight="1" thickBot="1">
      <c r="A7" s="1277" t="s">
        <v>2363</v>
      </c>
      <c r="B7" s="1275"/>
      <c r="C7" s="1275"/>
      <c r="D7" s="1275"/>
      <c r="E7" s="1275"/>
      <c r="F7" s="1275"/>
      <c r="G7" s="1275"/>
      <c r="H7" s="1275"/>
      <c r="I7" s="1275"/>
      <c r="J7" s="1276"/>
      <c r="K7" s="508">
        <f>IFERROR(SUMIF(N:N, "ベースアップ等加算", AE:AE),"")</f>
        <v>0</v>
      </c>
      <c r="L7" s="502" t="s">
        <v>1</v>
      </c>
      <c r="M7" s="496"/>
      <c r="N7" s="509"/>
      <c r="O7" s="510"/>
      <c r="P7" s="511"/>
      <c r="Q7" s="510"/>
      <c r="R7" s="511"/>
      <c r="S7" s="512"/>
      <c r="T7" s="512"/>
      <c r="U7" s="512"/>
      <c r="V7" s="512"/>
      <c r="W7" s="512"/>
      <c r="X7" s="512"/>
      <c r="Y7" s="512"/>
      <c r="Z7" s="512"/>
      <c r="AA7" s="512"/>
      <c r="AB7" s="512"/>
      <c r="AC7" s="160"/>
      <c r="AD7" s="160"/>
      <c r="AE7" s="488"/>
      <c r="AF7" s="488"/>
      <c r="AG7" s="1311" t="s">
        <v>2112</v>
      </c>
      <c r="AH7" s="1312"/>
      <c r="AI7" s="1312"/>
      <c r="AJ7" s="1312"/>
      <c r="AK7" s="1313"/>
      <c r="AL7" s="513">
        <f>SUMIF(N:N,"特定加算",AL:AL)</f>
        <v>0</v>
      </c>
      <c r="AM7" s="271"/>
      <c r="AQ7" s="514" t="s">
        <v>2203</v>
      </c>
      <c r="AR7" s="515" t="str">
        <f>IF(COUNTIF(Q:Q,"処遇加算Ⅰ")&gt;=1,"処遇加算Ⅰあり","処遇加算Ⅰなし")</f>
        <v>処遇加算Ⅰなし</v>
      </c>
      <c r="AS7" s="1321" t="str">
        <f>IF((COUNTIF(Q:Q,"特定加算Ⅰ")+COUNTIF(Q:Q,"特定加算Ⅱ"))&gt;=1,"特定加算あり","特定加算なし")</f>
        <v>特定加算なし</v>
      </c>
      <c r="AT7" s="1321"/>
      <c r="AU7" s="1321"/>
      <c r="AV7" s="1321" t="str">
        <f>IF(COUNTIFS(O:O,"ベア加算なし",Q:Q,"ベア加算")&gt;=1,"新規ベア加算あり","新規ベア加算なし")</f>
        <v>新規ベア加算なし</v>
      </c>
      <c r="AW7" s="1321"/>
      <c r="AX7" s="1321"/>
    </row>
    <row r="8" spans="1:213" ht="38.25" customHeight="1" thickBot="1">
      <c r="A8" s="516"/>
      <c r="B8" s="517"/>
      <c r="C8" s="1228" t="s">
        <v>2357</v>
      </c>
      <c r="D8" s="1228"/>
      <c r="E8" s="1228"/>
      <c r="F8" s="1228"/>
      <c r="G8" s="1228"/>
      <c r="H8" s="1228"/>
      <c r="I8" s="1228"/>
      <c r="J8" s="1229"/>
      <c r="K8" s="508">
        <f>IFERROR(SUMIF(N:N, "ベースアップ等加算",AG:AG),"")</f>
        <v>0</v>
      </c>
      <c r="L8" s="502" t="s">
        <v>1</v>
      </c>
      <c r="M8" s="496"/>
      <c r="N8" s="512"/>
      <c r="O8" s="510"/>
      <c r="P8" s="511"/>
      <c r="Q8" s="510"/>
      <c r="R8" s="511"/>
      <c r="S8" s="512"/>
      <c r="T8" s="512"/>
      <c r="U8" s="512"/>
      <c r="V8" s="512"/>
      <c r="W8" s="512"/>
      <c r="X8" s="512"/>
      <c r="Y8" s="512"/>
      <c r="Z8" s="512"/>
      <c r="AA8" s="512"/>
      <c r="AB8" s="512"/>
      <c r="AC8" s="160"/>
      <c r="AD8" s="160"/>
      <c r="AE8" s="488"/>
      <c r="AF8" s="488"/>
      <c r="AG8" s="1311" t="s">
        <v>2340</v>
      </c>
      <c r="AH8" s="1312"/>
      <c r="AI8" s="1312"/>
      <c r="AJ8" s="1312"/>
      <c r="AK8" s="1313"/>
      <c r="AL8" s="513">
        <f>SUM(AW:AW)</f>
        <v>0</v>
      </c>
      <c r="AM8" s="271"/>
      <c r="AQ8" s="514" t="s">
        <v>2204</v>
      </c>
      <c r="AR8" s="515" t="str">
        <f>IF((COUNTIF(Q:Q,"処遇加算Ⅰ")+COUNTIF(Q:Q,"処遇加算Ⅱ"))&gt;=1,"処遇加算Ⅰ・Ⅱあり","処遇加算Ⅰ・Ⅱなし")</f>
        <v>処遇加算Ⅰ・Ⅱなし</v>
      </c>
      <c r="AS8" s="1321" t="str">
        <f>IF(COUNTIF(Q:Q,"特定加算Ⅰ")&gt;=1,"特定加算Ⅰあり","特定加算Ⅰなし")</f>
        <v>特定加算Ⅰなし</v>
      </c>
      <c r="AT8" s="1321"/>
      <c r="AU8" s="1321"/>
      <c r="AV8" s="1321" t="str">
        <f>IF(COUNTIFS(O:O,"ベア加算",Q:Q,"ベア加算")&gt;=1,"継続ベア加算あり","継続ベア加算なし")</f>
        <v>継続ベア加算なし</v>
      </c>
      <c r="AW8" s="1321"/>
      <c r="AX8" s="1321"/>
    </row>
    <row r="9" spans="1:213" ht="36" customHeight="1" thickBot="1">
      <c r="A9" s="1278" t="s">
        <v>2356</v>
      </c>
      <c r="B9" s="1278"/>
      <c r="C9" s="1278"/>
      <c r="D9" s="1278"/>
      <c r="E9" s="1278"/>
      <c r="F9" s="1278"/>
      <c r="G9" s="1278"/>
      <c r="H9" s="1278"/>
      <c r="I9" s="1278"/>
      <c r="J9" s="1278"/>
      <c r="K9" s="508">
        <f>SUM(AF:AF)</f>
        <v>0</v>
      </c>
      <c r="L9" s="502" t="s">
        <v>1</v>
      </c>
      <c r="M9" s="496"/>
      <c r="N9" s="512"/>
      <c r="O9" s="510"/>
      <c r="P9" s="511"/>
      <c r="Q9" s="510"/>
      <c r="R9" s="511"/>
      <c r="S9" s="512"/>
      <c r="T9" s="512"/>
      <c r="U9" s="512"/>
      <c r="V9" s="512"/>
      <c r="W9" s="512"/>
      <c r="X9" s="512"/>
      <c r="Y9" s="512"/>
      <c r="Z9" s="512"/>
      <c r="AA9" s="512"/>
      <c r="AB9" s="512"/>
      <c r="AC9" s="160"/>
      <c r="AD9" s="160"/>
      <c r="AE9" s="488"/>
      <c r="AF9" s="488"/>
      <c r="AG9" s="518"/>
      <c r="AH9" s="519"/>
      <c r="AI9" s="519"/>
      <c r="AJ9" s="519"/>
      <c r="AK9" s="519"/>
      <c r="AL9" s="520"/>
      <c r="AM9" s="271"/>
      <c r="AQ9" s="507"/>
      <c r="AR9" s="521"/>
      <c r="AS9" s="521"/>
      <c r="AT9" s="521"/>
      <c r="AU9" s="521"/>
      <c r="AV9" s="521"/>
      <c r="AW9" s="521"/>
      <c r="AX9" s="521"/>
    </row>
    <row r="10" spans="1:213" ht="30" customHeight="1" thickBot="1">
      <c r="A10" s="1290" t="s">
        <v>2369</v>
      </c>
      <c r="B10" s="1290"/>
      <c r="C10" s="1290"/>
      <c r="D10" s="1290"/>
      <c r="E10" s="1290"/>
      <c r="F10" s="1290"/>
      <c r="G10" s="1290"/>
      <c r="H10" s="1290"/>
      <c r="I10" s="1290"/>
      <c r="J10" s="1290"/>
      <c r="K10" s="1290"/>
      <c r="L10" s="1290"/>
      <c r="M10" s="496"/>
      <c r="N10" s="519"/>
      <c r="O10" s="522"/>
      <c r="P10" s="523"/>
      <c r="Q10" s="522"/>
      <c r="R10" s="523"/>
      <c r="S10" s="519"/>
      <c r="T10" s="519"/>
      <c r="U10" s="519"/>
      <c r="V10" s="519"/>
      <c r="W10" s="519"/>
      <c r="X10" s="519"/>
      <c r="Y10" s="519"/>
      <c r="Z10" s="519"/>
      <c r="AA10" s="524"/>
      <c r="AB10" s="524"/>
      <c r="AC10" s="524"/>
      <c r="AD10" s="524"/>
      <c r="AE10" s="488"/>
      <c r="AF10" s="488"/>
      <c r="AG10" s="488"/>
      <c r="AH10" s="160"/>
      <c r="AI10" s="160"/>
      <c r="AJ10" s="160"/>
      <c r="AK10" s="160"/>
      <c r="AL10" s="525"/>
      <c r="AM10" s="271"/>
    </row>
    <row r="11" spans="1:213" ht="23.25" customHeight="1" thickBot="1">
      <c r="A11" s="1291"/>
      <c r="B11" s="1291"/>
      <c r="C11" s="1291"/>
      <c r="D11" s="1291"/>
      <c r="E11" s="1291"/>
      <c r="F11" s="1291"/>
      <c r="G11" s="1291"/>
      <c r="H11" s="1291"/>
      <c r="I11" s="1291"/>
      <c r="J11" s="1291"/>
      <c r="K11" s="1291"/>
      <c r="L11" s="1291"/>
      <c r="M11" s="162"/>
      <c r="N11" s="162"/>
      <c r="O11" s="486"/>
      <c r="P11" s="487"/>
      <c r="Q11" s="486"/>
      <c r="R11" s="487"/>
      <c r="S11" s="162"/>
      <c r="T11" s="162"/>
      <c r="U11" s="162"/>
      <c r="V11" s="162"/>
      <c r="W11" s="162"/>
      <c r="X11" s="162"/>
      <c r="Y11" s="162"/>
      <c r="Z11" s="162"/>
      <c r="AA11" s="162"/>
      <c r="AB11" s="162"/>
      <c r="AC11" s="162"/>
      <c r="AD11" s="162"/>
      <c r="AE11" s="526"/>
      <c r="AF11" s="526"/>
      <c r="AG11" s="1329" t="str">
        <f>IFERROR(IF(COUNTIF(AS:AS,"未入力")=0,"○","未入力あり"),"")</f>
        <v>○</v>
      </c>
      <c r="AH11" s="1330"/>
      <c r="AI11" s="527" t="str">
        <f>IFERROR(IF(COUNTIF(AT:AT,"未入力")=0,"○","未入力あり"),"")</f>
        <v>○</v>
      </c>
      <c r="AJ11" s="527" t="str">
        <f>IFERROR(IF(COUNTIF(AU:AU,"未入力")=0,"○","未入力あり"),"")</f>
        <v>○</v>
      </c>
      <c r="AK11" s="527" t="str">
        <f>IFERROR(IF(COUNTIF(AV:AV,"未入力")=0,"○","未入力あり"),"")</f>
        <v>○</v>
      </c>
      <c r="AL11" s="528" t="str">
        <f>IF(AS7="特定加算なし","",(IF(AL7&gt;=AL8,"○","×")))</f>
        <v/>
      </c>
      <c r="AM11" s="529" t="str">
        <f>IF(AS8="特定加算Ⅰなし","",IF(COUNTIF(AX:AX,"未入力")=0,"○","未入力あり"))</f>
        <v/>
      </c>
      <c r="AN11" s="530" t="s">
        <v>2205</v>
      </c>
      <c r="AO11" s="491"/>
      <c r="AQ11" s="491"/>
      <c r="AR11" s="491"/>
      <c r="AS11" s="491"/>
      <c r="AT11" s="491"/>
      <c r="AU11" s="491"/>
      <c r="AV11" s="491"/>
      <c r="AW11" s="491"/>
      <c r="AX11" s="491"/>
      <c r="AY11" s="491"/>
      <c r="AZ11" s="491"/>
      <c r="BA11" s="491"/>
      <c r="BB11" s="491"/>
      <c r="BC11" s="491"/>
      <c r="BD11" s="491"/>
      <c r="BE11" s="491"/>
      <c r="BF11" s="491"/>
      <c r="BG11" s="491"/>
      <c r="BH11" s="491"/>
      <c r="BI11" s="491"/>
      <c r="BJ11" s="491"/>
      <c r="BK11" s="491"/>
      <c r="BL11" s="491"/>
      <c r="BM11" s="491"/>
      <c r="BN11" s="491"/>
      <c r="BO11" s="491"/>
      <c r="BP11" s="491"/>
      <c r="BQ11" s="491"/>
      <c r="BR11" s="491"/>
      <c r="BS11" s="491"/>
      <c r="BT11" s="491"/>
      <c r="BU11" s="491"/>
      <c r="BV11" s="491"/>
      <c r="BW11" s="491"/>
      <c r="BX11" s="491"/>
      <c r="BY11" s="491"/>
      <c r="BZ11" s="491"/>
      <c r="CA11" s="491"/>
      <c r="CB11" s="491"/>
      <c r="CC11" s="491"/>
      <c r="CD11" s="491"/>
      <c r="CE11" s="491"/>
      <c r="CF11" s="491"/>
      <c r="CG11" s="491"/>
      <c r="CH11" s="491"/>
      <c r="CI11" s="491"/>
      <c r="CJ11" s="491"/>
      <c r="CK11" s="491"/>
      <c r="CL11" s="491"/>
      <c r="CM11" s="491"/>
      <c r="CN11" s="491"/>
      <c r="CO11" s="491"/>
      <c r="CP11" s="491"/>
      <c r="CQ11" s="491"/>
      <c r="CR11" s="491"/>
      <c r="CS11" s="491"/>
      <c r="CT11" s="491"/>
      <c r="CU11" s="491"/>
      <c r="CV11" s="491"/>
      <c r="CW11" s="491"/>
      <c r="CX11" s="491"/>
      <c r="CY11" s="491"/>
      <c r="CZ11" s="491"/>
      <c r="DA11" s="491"/>
      <c r="DB11" s="491"/>
      <c r="DC11" s="491"/>
      <c r="DD11" s="491"/>
      <c r="DE11" s="491"/>
      <c r="DF11" s="491"/>
      <c r="DG11" s="491"/>
      <c r="DH11" s="491"/>
      <c r="DI11" s="491"/>
      <c r="DJ11" s="491"/>
      <c r="DK11" s="491"/>
      <c r="DL11" s="491"/>
      <c r="DM11" s="491"/>
      <c r="DN11" s="491"/>
      <c r="DO11" s="491"/>
      <c r="DP11" s="491"/>
      <c r="DQ11" s="491"/>
      <c r="DR11" s="491"/>
      <c r="DS11" s="491"/>
      <c r="DT11" s="491"/>
      <c r="DU11" s="491"/>
      <c r="DV11" s="491"/>
      <c r="DW11" s="491"/>
      <c r="DX11" s="491"/>
      <c r="DY11" s="491"/>
      <c r="DZ11" s="491"/>
      <c r="EA11" s="491"/>
      <c r="EB11" s="491"/>
      <c r="EC11" s="491"/>
      <c r="ED11" s="491"/>
      <c r="EE11" s="491"/>
      <c r="EF11" s="491"/>
      <c r="EG11" s="491"/>
      <c r="EH11" s="491"/>
      <c r="EI11" s="491"/>
      <c r="EJ11" s="491"/>
      <c r="EK11" s="491"/>
      <c r="EL11" s="491"/>
      <c r="EM11" s="491"/>
      <c r="EN11" s="491"/>
      <c r="EO11" s="491"/>
      <c r="EP11" s="491"/>
      <c r="EQ11" s="491"/>
      <c r="ER11" s="491"/>
      <c r="ES11" s="491"/>
      <c r="ET11" s="491"/>
      <c r="EU11" s="491"/>
      <c r="EV11" s="491"/>
      <c r="EW11" s="491"/>
      <c r="EX11" s="491"/>
      <c r="EY11" s="491"/>
      <c r="EZ11" s="491"/>
      <c r="FA11" s="491"/>
      <c r="FB11" s="491"/>
      <c r="FC11" s="491"/>
      <c r="FD11" s="491"/>
      <c r="FE11" s="491"/>
      <c r="FF11" s="491"/>
      <c r="FG11" s="491"/>
      <c r="FH11" s="491"/>
      <c r="FI11" s="491"/>
      <c r="FJ11" s="491"/>
      <c r="FK11" s="491"/>
      <c r="FL11" s="491"/>
      <c r="FM11" s="491"/>
      <c r="FN11" s="491"/>
      <c r="FO11" s="491"/>
      <c r="FP11" s="491"/>
      <c r="FQ11" s="491"/>
      <c r="FR11" s="491"/>
      <c r="FS11" s="491"/>
      <c r="FT11" s="491"/>
      <c r="FU11" s="491"/>
      <c r="FV11" s="491"/>
      <c r="FW11" s="491"/>
      <c r="FX11" s="491"/>
      <c r="FY11" s="491"/>
      <c r="FZ11" s="491"/>
      <c r="GA11" s="491"/>
      <c r="GB11" s="491"/>
      <c r="GC11" s="491"/>
      <c r="GD11" s="491"/>
      <c r="GE11" s="491"/>
      <c r="GF11" s="491"/>
      <c r="GG11" s="491"/>
      <c r="GH11" s="491"/>
      <c r="GI11" s="491"/>
      <c r="GJ11" s="491"/>
      <c r="GK11" s="491"/>
      <c r="GL11" s="491"/>
      <c r="GM11" s="491"/>
      <c r="GN11" s="491"/>
      <c r="GO11" s="491"/>
      <c r="GP11" s="491"/>
      <c r="GQ11" s="491"/>
      <c r="GR11" s="491"/>
      <c r="GS11" s="491"/>
      <c r="GT11" s="491"/>
      <c r="GU11" s="491"/>
      <c r="GV11" s="491"/>
      <c r="GW11" s="491"/>
      <c r="GX11" s="491"/>
      <c r="GY11" s="491"/>
      <c r="GZ11" s="491"/>
      <c r="HA11" s="491"/>
      <c r="HB11" s="491"/>
      <c r="HC11" s="491"/>
      <c r="HD11" s="491"/>
      <c r="HE11" s="491"/>
    </row>
    <row r="12" spans="1:213" ht="48.75" customHeight="1">
      <c r="A12" s="1257"/>
      <c r="B12" s="1282" t="s">
        <v>2326</v>
      </c>
      <c r="C12" s="1283"/>
      <c r="D12" s="1283"/>
      <c r="E12" s="1283"/>
      <c r="F12" s="1284"/>
      <c r="G12" s="1288" t="s">
        <v>63</v>
      </c>
      <c r="H12" s="1308" t="s">
        <v>88</v>
      </c>
      <c r="I12" s="1308"/>
      <c r="J12" s="1309" t="s">
        <v>69</v>
      </c>
      <c r="K12" s="1302" t="s">
        <v>40</v>
      </c>
      <c r="L12" s="1304" t="s">
        <v>2175</v>
      </c>
      <c r="M12" s="1306" t="s">
        <v>67</v>
      </c>
      <c r="N12" s="1300" t="s">
        <v>188</v>
      </c>
      <c r="O12" s="1316" t="s">
        <v>2213</v>
      </c>
      <c r="P12" s="1317"/>
      <c r="Q12" s="1317" t="s">
        <v>2212</v>
      </c>
      <c r="R12" s="1317"/>
      <c r="S12" s="1317"/>
      <c r="T12" s="1317"/>
      <c r="U12" s="1317"/>
      <c r="V12" s="1317"/>
      <c r="W12" s="1317"/>
      <c r="X12" s="1317"/>
      <c r="Y12" s="1317"/>
      <c r="Z12" s="1317"/>
      <c r="AA12" s="1317"/>
      <c r="AB12" s="1317"/>
      <c r="AC12" s="1317"/>
      <c r="AD12" s="1317"/>
      <c r="AE12" s="1318"/>
      <c r="AF12" s="1319" t="s">
        <v>2360</v>
      </c>
      <c r="AG12" s="1322" t="s">
        <v>2199</v>
      </c>
      <c r="AH12" s="1323"/>
      <c r="AI12" s="1327" t="s">
        <v>241</v>
      </c>
      <c r="AJ12" s="1328"/>
      <c r="AK12" s="531" t="s">
        <v>235</v>
      </c>
      <c r="AL12" s="531" t="s">
        <v>239</v>
      </c>
      <c r="AM12" s="532" t="s">
        <v>240</v>
      </c>
      <c r="AN12" s="1230" t="s">
        <v>2325</v>
      </c>
      <c r="AY12" s="1232" t="s">
        <v>2358</v>
      </c>
    </row>
    <row r="13" spans="1:213" ht="127.5" customHeight="1" thickBot="1">
      <c r="A13" s="1258"/>
      <c r="B13" s="1285"/>
      <c r="C13" s="1286"/>
      <c r="D13" s="1286"/>
      <c r="E13" s="1286"/>
      <c r="F13" s="1287"/>
      <c r="G13" s="1289"/>
      <c r="H13" s="533" t="s">
        <v>2399</v>
      </c>
      <c r="I13" s="533" t="s">
        <v>2328</v>
      </c>
      <c r="J13" s="1310"/>
      <c r="K13" s="1303"/>
      <c r="L13" s="1305"/>
      <c r="M13" s="1307"/>
      <c r="N13" s="1301"/>
      <c r="O13" s="534" t="s">
        <v>2334</v>
      </c>
      <c r="P13" s="535" t="s">
        <v>2113</v>
      </c>
      <c r="Q13" s="534" t="s">
        <v>2216</v>
      </c>
      <c r="R13" s="535" t="s">
        <v>177</v>
      </c>
      <c r="S13" s="1324" t="s">
        <v>2333</v>
      </c>
      <c r="T13" s="1325"/>
      <c r="U13" s="1325"/>
      <c r="V13" s="1325"/>
      <c r="W13" s="1325"/>
      <c r="X13" s="1325"/>
      <c r="Y13" s="1325"/>
      <c r="Z13" s="1325"/>
      <c r="AA13" s="1325"/>
      <c r="AB13" s="1325"/>
      <c r="AC13" s="1325"/>
      <c r="AD13" s="1326"/>
      <c r="AE13" s="536" t="s">
        <v>2292</v>
      </c>
      <c r="AF13" s="1320"/>
      <c r="AG13" s="537" t="s">
        <v>2200</v>
      </c>
      <c r="AH13" s="538" t="s">
        <v>2201</v>
      </c>
      <c r="AI13" s="539" t="s">
        <v>2330</v>
      </c>
      <c r="AJ13" s="538" t="s">
        <v>2331</v>
      </c>
      <c r="AK13" s="540" t="s">
        <v>234</v>
      </c>
      <c r="AL13" s="540" t="s">
        <v>2342</v>
      </c>
      <c r="AM13" s="541" t="s">
        <v>2335</v>
      </c>
      <c r="AN13" s="1231"/>
      <c r="AO13" s="542"/>
      <c r="AP13" s="543" t="s">
        <v>2207</v>
      </c>
      <c r="AQ13" s="543" t="s">
        <v>2181</v>
      </c>
      <c r="AR13" s="543" t="s">
        <v>2202</v>
      </c>
      <c r="AS13" s="543" t="s">
        <v>2195</v>
      </c>
      <c r="AT13" s="544" t="s">
        <v>2182</v>
      </c>
      <c r="AU13" s="545" t="s">
        <v>2183</v>
      </c>
      <c r="AV13" s="543" t="s">
        <v>2184</v>
      </c>
      <c r="AW13" s="546" t="s">
        <v>2185</v>
      </c>
      <c r="AX13" s="543" t="s">
        <v>2186</v>
      </c>
      <c r="AY13" s="1233"/>
    </row>
    <row r="14" spans="1:213" ht="32.1" customHeight="1">
      <c r="A14" s="1279">
        <v>1</v>
      </c>
      <c r="B14" s="1271" t="str">
        <f>IF(基本情報入力シート!C54="","",基本情報入力シート!C54)</f>
        <v/>
      </c>
      <c r="C14" s="1259"/>
      <c r="D14" s="1259"/>
      <c r="E14" s="1259"/>
      <c r="F14" s="1260"/>
      <c r="G14" s="1265" t="str">
        <f>IF(基本情報入力シート!M54="","",基本情報入力シート!M54)</f>
        <v/>
      </c>
      <c r="H14" s="1265" t="str">
        <f>IF(基本情報入力シート!R54="","",基本情報入力シート!R54)</f>
        <v/>
      </c>
      <c r="I14" s="1265" t="str">
        <f>IF(基本情報入力シート!W54="","",基本情報入力シート!W54)</f>
        <v/>
      </c>
      <c r="J14" s="1265" t="str">
        <f>IF(基本情報入力シート!X54="","",基本情報入力シート!X54)</f>
        <v/>
      </c>
      <c r="K14" s="1268" t="str">
        <f>IF(基本情報入力シート!Y54="","",基本情報入力シート!Y54)</f>
        <v/>
      </c>
      <c r="L14" s="1246" t="str">
        <f>IF(基本情報入力シート!AB54="","",基本情報入力シート!AB54)</f>
        <v/>
      </c>
      <c r="M14" s="1249" t="str">
        <f>IF(基本情報入力シート!AC54="","",基本情報入力シート!AC54)</f>
        <v/>
      </c>
      <c r="N14" s="547" t="s">
        <v>183</v>
      </c>
      <c r="O14" s="151"/>
      <c r="P14" s="548" t="str">
        <f>IFERROR(VLOOKUP(K14,【参考】数式用!$A$5:$J$27,MATCH(O14,【参考】数式用!$B$4:$J$4,0)+1,0),"")</f>
        <v/>
      </c>
      <c r="Q14" s="151"/>
      <c r="R14" s="548" t="str">
        <f>IFERROR(VLOOKUP(K14,【参考】数式用!$A$5:$J$27,MATCH(Q14,【参考】数式用!$B$4:$J$4,0)+1,0),"")</f>
        <v/>
      </c>
      <c r="S14" s="549" t="s">
        <v>19</v>
      </c>
      <c r="T14" s="550">
        <v>6</v>
      </c>
      <c r="U14" s="202" t="s">
        <v>10</v>
      </c>
      <c r="V14" s="71">
        <v>4</v>
      </c>
      <c r="W14" s="202" t="s">
        <v>45</v>
      </c>
      <c r="X14" s="550">
        <v>6</v>
      </c>
      <c r="Y14" s="202" t="s">
        <v>10</v>
      </c>
      <c r="Z14" s="71">
        <v>5</v>
      </c>
      <c r="AA14" s="202" t="s">
        <v>13</v>
      </c>
      <c r="AB14" s="551" t="s">
        <v>24</v>
      </c>
      <c r="AC14" s="552">
        <f t="shared" ref="AC14:AC19" si="0">IF(V14&gt;=1,(X14*12+Z14)-(T14*12+V14)+1,"")</f>
        <v>2</v>
      </c>
      <c r="AD14" s="202" t="s">
        <v>38</v>
      </c>
      <c r="AE14" s="553" t="str">
        <f>IFERROR(ROUNDDOWN(ROUND(L14*R14,0)*M14,0)*AC14,"")</f>
        <v/>
      </c>
      <c r="AF14" s="554" t="str">
        <f>IFERROR(ROUNDDOWN(ROUND(L14*(R14-P14),0)*M14,0)*AC14,"")</f>
        <v/>
      </c>
      <c r="AG14" s="555"/>
      <c r="AH14" s="447"/>
      <c r="AI14" s="448"/>
      <c r="AJ14" s="449"/>
      <c r="AK14" s="450"/>
      <c r="AL14" s="451"/>
      <c r="AM14" s="452"/>
      <c r="AN14" s="556" t="str">
        <f>IF(AP14="","",IF(OR(R14&lt;P14,R15&lt;P15,R16&lt;P16),"！加算の要件上は問題ありませんが、令和６年３月と比較して４・５月に加算率が下がる計画になっています。",""))</f>
        <v/>
      </c>
      <c r="AP14" s="557" t="str">
        <f>IF(K14&lt;&gt;"","P列・R列に色付け","")</f>
        <v/>
      </c>
      <c r="AQ14" s="558" t="str">
        <f>IFERROR(VLOOKUP(K14,【参考】数式用!$AJ$2:$AK$24,2,FALSE),"")</f>
        <v/>
      </c>
      <c r="AR14" s="559" t="str">
        <f>Q14&amp;Q15&amp;Q16</f>
        <v/>
      </c>
      <c r="AS14" s="558" t="str">
        <f>IF(AG16&lt;&gt;0,IF(AH16="○","入力済","未入力"),"")</f>
        <v/>
      </c>
      <c r="AT14" s="559" t="str">
        <f>IF(OR(Q14="処遇加算Ⅰ",Q14="処遇加算Ⅱ"),IF(OR(AI14="○",AI14="令和６年度中に満たす"),"入力済","未入力"),"")</f>
        <v/>
      </c>
      <c r="AU14" s="560" t="str">
        <f>IF(Q14="処遇加算Ⅲ",IF(AJ14="○","入力済","未入力"),"")</f>
        <v/>
      </c>
      <c r="AV14" s="558" t="str">
        <f>IF(Q14="処遇加算Ⅰ",IF(OR(AK14="○",AK14="令和６年度中に満たす"),"入力済","未入力"),"")</f>
        <v/>
      </c>
      <c r="AW14" s="558" t="str">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
      </c>
      <c r="AX14" s="543" t="str">
        <f>IF(Q15="特定加算Ⅰ",IF(AM15="","未入力","入力済"),"")</f>
        <v/>
      </c>
      <c r="AY14" s="543" t="str">
        <f>G14</f>
        <v/>
      </c>
    </row>
    <row r="15" spans="1:213" ht="32.1" customHeight="1">
      <c r="A15" s="1280"/>
      <c r="B15" s="1272"/>
      <c r="C15" s="1261"/>
      <c r="D15" s="1261"/>
      <c r="E15" s="1261"/>
      <c r="F15" s="1262"/>
      <c r="G15" s="1266"/>
      <c r="H15" s="1266"/>
      <c r="I15" s="1266"/>
      <c r="J15" s="1266"/>
      <c r="K15" s="1269"/>
      <c r="L15" s="1247"/>
      <c r="M15" s="1250"/>
      <c r="N15" s="561" t="s">
        <v>170</v>
      </c>
      <c r="O15" s="152"/>
      <c r="P15" s="562" t="str">
        <f>IFERROR(VLOOKUP(K14,【参考】数式用!$A$5:$J$27,MATCH(O15,【参考】数式用!$B$4:$J$4,0)+1,0),"")</f>
        <v/>
      </c>
      <c r="Q15" s="152"/>
      <c r="R15" s="562" t="str">
        <f>IFERROR(VLOOKUP(K14,【参考】数式用!$A$5:$J$27,MATCH(Q15,【参考】数式用!$B$4:$J$4,0)+1,0),"")</f>
        <v/>
      </c>
      <c r="S15" s="173" t="s">
        <v>19</v>
      </c>
      <c r="T15" s="563">
        <v>6</v>
      </c>
      <c r="U15" s="174" t="s">
        <v>10</v>
      </c>
      <c r="V15" s="109">
        <v>4</v>
      </c>
      <c r="W15" s="174" t="s">
        <v>45</v>
      </c>
      <c r="X15" s="563">
        <v>6</v>
      </c>
      <c r="Y15" s="174" t="s">
        <v>10</v>
      </c>
      <c r="Z15" s="109">
        <v>5</v>
      </c>
      <c r="AA15" s="174" t="s">
        <v>13</v>
      </c>
      <c r="AB15" s="564" t="s">
        <v>24</v>
      </c>
      <c r="AC15" s="565">
        <f t="shared" si="0"/>
        <v>2</v>
      </c>
      <c r="AD15" s="174" t="s">
        <v>38</v>
      </c>
      <c r="AE15" s="566" t="str">
        <f>IFERROR(ROUNDDOWN(ROUND(L14*R15,0)*M14,0)*AC15,"")</f>
        <v/>
      </c>
      <c r="AF15" s="567" t="str">
        <f>IFERROR(ROUNDDOWN(ROUND(L14*(R15-P15),0)*M14,0)*AC15,"")</f>
        <v/>
      </c>
      <c r="AG15" s="568"/>
      <c r="AH15" s="453"/>
      <c r="AI15" s="454"/>
      <c r="AJ15" s="455"/>
      <c r="AK15" s="456"/>
      <c r="AL15" s="457"/>
      <c r="AM15" s="458"/>
      <c r="AN15" s="569" t="str">
        <f>IF(AP14="","",IF(OR(Z14=4,Z15=4,Z16=4),"！算定期間の終わりが令和６年４月になっています。５月に区分を変更する場合は、「基本情報入力シート」で同じ事業所を２行に分けて記入してください。",""))</f>
        <v/>
      </c>
      <c r="AO15" s="570"/>
      <c r="AP15" s="557" t="str">
        <f>IF(K14&lt;&gt;"","P列・R列に色付け","")</f>
        <v/>
      </c>
      <c r="AY15" s="543" t="str">
        <f>G14</f>
        <v/>
      </c>
    </row>
    <row r="16" spans="1:213" ht="32.1" customHeight="1" thickBot="1">
      <c r="A16" s="1281"/>
      <c r="B16" s="1273"/>
      <c r="C16" s="1263"/>
      <c r="D16" s="1263"/>
      <c r="E16" s="1263"/>
      <c r="F16" s="1264"/>
      <c r="G16" s="1267"/>
      <c r="H16" s="1267"/>
      <c r="I16" s="1267"/>
      <c r="J16" s="1267"/>
      <c r="K16" s="1270"/>
      <c r="L16" s="1248"/>
      <c r="M16" s="1251"/>
      <c r="N16" s="571" t="s">
        <v>140</v>
      </c>
      <c r="O16" s="153"/>
      <c r="P16" s="572" t="str">
        <f>IFERROR(VLOOKUP(K14,【参考】数式用!$A$5:$J$27,MATCH(O16,【参考】数式用!$B$4:$J$4,0)+1,0),"")</f>
        <v/>
      </c>
      <c r="Q16" s="153"/>
      <c r="R16" s="572" t="str">
        <f>IFERROR(VLOOKUP(K14,【参考】数式用!$A$5:$J$27,MATCH(Q16,【参考】数式用!$B$4:$J$4,0)+1,0),"")</f>
        <v/>
      </c>
      <c r="S16" s="573" t="s">
        <v>19</v>
      </c>
      <c r="T16" s="574">
        <v>6</v>
      </c>
      <c r="U16" s="575" t="s">
        <v>10</v>
      </c>
      <c r="V16" s="110">
        <v>4</v>
      </c>
      <c r="W16" s="575" t="s">
        <v>45</v>
      </c>
      <c r="X16" s="574">
        <v>6</v>
      </c>
      <c r="Y16" s="575" t="s">
        <v>10</v>
      </c>
      <c r="Z16" s="110">
        <v>5</v>
      </c>
      <c r="AA16" s="575" t="s">
        <v>13</v>
      </c>
      <c r="AB16" s="576" t="s">
        <v>24</v>
      </c>
      <c r="AC16" s="577">
        <f t="shared" si="0"/>
        <v>2</v>
      </c>
      <c r="AD16" s="575" t="s">
        <v>38</v>
      </c>
      <c r="AE16" s="578" t="str">
        <f>IFERROR(ROUNDDOWN(ROUND(L14*R16,0)*M14,0)*AC16,"")</f>
        <v/>
      </c>
      <c r="AF16" s="579" t="str">
        <f>IFERROR(ROUNDDOWN(ROUND(L14*(R16-P16),0)*M14,0)*AC16,"")</f>
        <v/>
      </c>
      <c r="AG16" s="580">
        <f>IF(AND(O16="ベア加算なし",Q16="ベア加算"),AE16,0)</f>
        <v>0</v>
      </c>
      <c r="AH16" s="459"/>
      <c r="AI16" s="460"/>
      <c r="AJ16" s="461"/>
      <c r="AK16" s="462"/>
      <c r="AL16" s="463"/>
      <c r="AM16" s="464"/>
      <c r="AN16" s="581"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82" t="str">
        <f>IF(K14&lt;&gt;"","P列・R列に色付け","")</f>
        <v/>
      </c>
      <c r="AQ16" s="583"/>
      <c r="AR16" s="583"/>
      <c r="AX16" s="584"/>
      <c r="AY16" s="543" t="str">
        <f>G14</f>
        <v/>
      </c>
    </row>
    <row r="17" spans="1:51" ht="32.1" customHeight="1">
      <c r="A17" s="1225">
        <v>2</v>
      </c>
      <c r="B17" s="1259" t="str">
        <f>IF(基本情報入力シート!C55="","",基本情報入力シート!C55)</f>
        <v/>
      </c>
      <c r="C17" s="1259"/>
      <c r="D17" s="1259"/>
      <c r="E17" s="1259"/>
      <c r="F17" s="1260"/>
      <c r="G17" s="1265" t="str">
        <f>IF(基本情報入力シート!M55="","",基本情報入力シート!M55)</f>
        <v/>
      </c>
      <c r="H17" s="1265" t="str">
        <f>IF(基本情報入力シート!R55="","",基本情報入力シート!R55)</f>
        <v/>
      </c>
      <c r="I17" s="1265" t="str">
        <f>IF(基本情報入力シート!W55="","",基本情報入力シート!W55)</f>
        <v/>
      </c>
      <c r="J17" s="1265" t="str">
        <f>IF(基本情報入力シート!X55="","",基本情報入力シート!X55)</f>
        <v/>
      </c>
      <c r="K17" s="1268" t="str">
        <f>IF(基本情報入力シート!Y55="","",基本情報入力シート!Y55)</f>
        <v/>
      </c>
      <c r="L17" s="1246" t="str">
        <f>IF(基本情報入力シート!AB55="","",基本情報入力シート!AB55)</f>
        <v/>
      </c>
      <c r="M17" s="1249" t="str">
        <f>IF(基本情報入力シート!AC55="","",基本情報入力シート!AC55)</f>
        <v/>
      </c>
      <c r="N17" s="585" t="s">
        <v>183</v>
      </c>
      <c r="O17" s="151"/>
      <c r="P17" s="562" t="str">
        <f>IFERROR(VLOOKUP(K17,【参考】数式用!$A$5:$J$27,MATCH(O17,【参考】数式用!$B$4:$J$4,0)+1,0),"")</f>
        <v/>
      </c>
      <c r="Q17" s="154"/>
      <c r="R17" s="562" t="str">
        <f>IFERROR(VLOOKUP(K17,【参考】数式用!$A$5:$J$27,MATCH(Q17,【参考】数式用!$B$4:$J$4,0)+1,0),"")</f>
        <v/>
      </c>
      <c r="S17" s="586" t="s">
        <v>19</v>
      </c>
      <c r="T17" s="587">
        <v>6</v>
      </c>
      <c r="U17" s="208" t="s">
        <v>10</v>
      </c>
      <c r="V17" s="122">
        <v>4</v>
      </c>
      <c r="W17" s="208" t="s">
        <v>45</v>
      </c>
      <c r="X17" s="587">
        <v>6</v>
      </c>
      <c r="Y17" s="208" t="s">
        <v>10</v>
      </c>
      <c r="Z17" s="122">
        <v>5</v>
      </c>
      <c r="AA17" s="208" t="s">
        <v>13</v>
      </c>
      <c r="AB17" s="588" t="s">
        <v>24</v>
      </c>
      <c r="AC17" s="589">
        <f t="shared" si="0"/>
        <v>2</v>
      </c>
      <c r="AD17" s="208" t="s">
        <v>38</v>
      </c>
      <c r="AE17" s="566" t="str">
        <f>IFERROR(ROUNDDOWN(ROUND(L17*R17,0)*M17,0)*AC17,"")</f>
        <v/>
      </c>
      <c r="AF17" s="554" t="str">
        <f>IFERROR(ROUNDDOWN(ROUND(L17*(R17-P17),0)*M17,0)*AC17,"")</f>
        <v/>
      </c>
      <c r="AG17" s="555"/>
      <c r="AH17" s="465"/>
      <c r="AI17" s="466"/>
      <c r="AJ17" s="467"/>
      <c r="AK17" s="468"/>
      <c r="AL17" s="451"/>
      <c r="AM17" s="469"/>
      <c r="AN17" s="556" t="str">
        <f t="shared" ref="AN17" si="1">IF(AP17="","",IF(R17&lt;P17,"！加算の要件上は問題ありませんが、令和６年３月と比較して４・５月に加算率が下がる計画になっています。",""))</f>
        <v/>
      </c>
      <c r="AP17" s="557" t="str">
        <f>IF(K17&lt;&gt;"","P列・R列に色付け","")</f>
        <v/>
      </c>
      <c r="AQ17" s="558" t="str">
        <f>IFERROR(VLOOKUP(K17,【参考】数式用!$AJ$2:$AK$24,2,FALSE),"")</f>
        <v/>
      </c>
      <c r="AR17" s="560" t="str">
        <f>Q17&amp;Q18&amp;Q19</f>
        <v/>
      </c>
      <c r="AS17" s="558" t="str">
        <f t="shared" ref="AS17" si="2">IF(AG19&lt;&gt;0,IF(AH19="○","入力済","未入力"),"")</f>
        <v/>
      </c>
      <c r="AT17" s="559" t="str">
        <f>IF(OR(Q17="処遇加算Ⅰ",Q17="処遇加算Ⅱ"),IF(OR(AI17="○",AI17="令和６年度中に満たす"),"入力済","未入力"),"")</f>
        <v/>
      </c>
      <c r="AU17" s="560" t="str">
        <f>IF(Q17="処遇加算Ⅲ",IF(AJ17="○","入力済","未入力"),"")</f>
        <v/>
      </c>
      <c r="AV17" s="558" t="str">
        <f>IF(Q17="処遇加算Ⅰ",IF(OR(AK17="○",AK17="令和６年度中に満たす"),"入力済","未入力"),"")</f>
        <v/>
      </c>
      <c r="AW17" s="558"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43" t="str">
        <f>IF(Q18="特定加算Ⅰ",IF(AM18="","未入力","入力済"),"")</f>
        <v/>
      </c>
      <c r="AY17" s="543" t="str">
        <f>G17</f>
        <v/>
      </c>
    </row>
    <row r="18" spans="1:51" ht="32.1" customHeight="1">
      <c r="A18" s="1226"/>
      <c r="B18" s="1261"/>
      <c r="C18" s="1261"/>
      <c r="D18" s="1261"/>
      <c r="E18" s="1261"/>
      <c r="F18" s="1262"/>
      <c r="G18" s="1266"/>
      <c r="H18" s="1266"/>
      <c r="I18" s="1266"/>
      <c r="J18" s="1266"/>
      <c r="K18" s="1269"/>
      <c r="L18" s="1247"/>
      <c r="M18" s="1250"/>
      <c r="N18" s="561" t="s">
        <v>170</v>
      </c>
      <c r="O18" s="152"/>
      <c r="P18" s="562" t="str">
        <f>IFERROR(VLOOKUP(K17,【参考】数式用!$A$5:$J$27,MATCH(O18,【参考】数式用!$B$4:$J$4,0)+1,0),"")</f>
        <v/>
      </c>
      <c r="Q18" s="152"/>
      <c r="R18" s="562" t="str">
        <f>IFERROR(VLOOKUP(K17,【参考】数式用!$A$5:$J$27,MATCH(Q18,【参考】数式用!$B$4:$J$4,0)+1,0),"")</f>
        <v/>
      </c>
      <c r="S18" s="173" t="s">
        <v>19</v>
      </c>
      <c r="T18" s="563">
        <v>6</v>
      </c>
      <c r="U18" s="174" t="s">
        <v>10</v>
      </c>
      <c r="V18" s="109">
        <v>4</v>
      </c>
      <c r="W18" s="174" t="s">
        <v>45</v>
      </c>
      <c r="X18" s="563">
        <v>6</v>
      </c>
      <c r="Y18" s="174" t="s">
        <v>10</v>
      </c>
      <c r="Z18" s="109">
        <v>5</v>
      </c>
      <c r="AA18" s="174" t="s">
        <v>13</v>
      </c>
      <c r="AB18" s="564" t="s">
        <v>24</v>
      </c>
      <c r="AC18" s="565">
        <f t="shared" si="0"/>
        <v>2</v>
      </c>
      <c r="AD18" s="174" t="s">
        <v>38</v>
      </c>
      <c r="AE18" s="566" t="str">
        <f>IFERROR(ROUNDDOWN(ROUND(L17*R18,0)*M17,0)*AC18,"")</f>
        <v/>
      </c>
      <c r="AF18" s="567" t="str">
        <f>IFERROR(ROUNDDOWN(ROUND(L17*(R18-P18),0)*M17,0)*AC18,"")</f>
        <v/>
      </c>
      <c r="AG18" s="568"/>
      <c r="AH18" s="453"/>
      <c r="AI18" s="454"/>
      <c r="AJ18" s="455"/>
      <c r="AK18" s="456"/>
      <c r="AL18" s="457"/>
      <c r="AM18" s="458"/>
      <c r="AN18" s="569" t="str">
        <f t="shared" ref="AN18" si="3">IF(AP17="","",IF(OR(Z17=4,Z18=4,Z19=4),"！加算の要件上は問題ありませんが、算定期間の終わりが令和６年５月になっていません。区分変更の場合は、「基本情報入力シート」で同じ事業所を２行に分けて記入してください。",""))</f>
        <v/>
      </c>
      <c r="AO18" s="570"/>
      <c r="AP18" s="557" t="str">
        <f>IF(K17&lt;&gt;"","P列・R列に色付け","")</f>
        <v/>
      </c>
      <c r="AY18" s="543" t="str">
        <f>G17</f>
        <v/>
      </c>
    </row>
    <row r="19" spans="1:51" ht="32.1" customHeight="1" thickBot="1">
      <c r="A19" s="1227"/>
      <c r="B19" s="1263"/>
      <c r="C19" s="1263"/>
      <c r="D19" s="1263"/>
      <c r="E19" s="1263"/>
      <c r="F19" s="1264"/>
      <c r="G19" s="1267"/>
      <c r="H19" s="1267"/>
      <c r="I19" s="1267"/>
      <c r="J19" s="1267"/>
      <c r="K19" s="1270"/>
      <c r="L19" s="1248"/>
      <c r="M19" s="1251"/>
      <c r="N19" s="571" t="s">
        <v>140</v>
      </c>
      <c r="O19" s="153"/>
      <c r="P19" s="572" t="str">
        <f>IFERROR(VLOOKUP(K17,【参考】数式用!$A$5:$J$27,MATCH(O19,【参考】数式用!$B$4:$J$4,0)+1,0),"")</f>
        <v/>
      </c>
      <c r="Q19" s="153"/>
      <c r="R19" s="572" t="str">
        <f>IFERROR(VLOOKUP(K17,【参考】数式用!$A$5:$J$27,MATCH(Q19,【参考】数式用!$B$4:$J$4,0)+1,0),"")</f>
        <v/>
      </c>
      <c r="S19" s="573" t="s">
        <v>19</v>
      </c>
      <c r="T19" s="574">
        <v>6</v>
      </c>
      <c r="U19" s="575" t="s">
        <v>10</v>
      </c>
      <c r="V19" s="110">
        <v>4</v>
      </c>
      <c r="W19" s="575" t="s">
        <v>45</v>
      </c>
      <c r="X19" s="574">
        <v>6</v>
      </c>
      <c r="Y19" s="575" t="s">
        <v>10</v>
      </c>
      <c r="Z19" s="110">
        <v>5</v>
      </c>
      <c r="AA19" s="575" t="s">
        <v>13</v>
      </c>
      <c r="AB19" s="576" t="s">
        <v>24</v>
      </c>
      <c r="AC19" s="577">
        <f t="shared" si="0"/>
        <v>2</v>
      </c>
      <c r="AD19" s="575" t="s">
        <v>38</v>
      </c>
      <c r="AE19" s="590" t="str">
        <f>IFERROR(ROUNDDOWN(ROUND(L17*R19,0)*M17,0)*AC19,"")</f>
        <v/>
      </c>
      <c r="AF19" s="579" t="str">
        <f>IFERROR(ROUNDDOWN(ROUND(L17*(R19-P19),0)*M17,0)*AC19,"")</f>
        <v/>
      </c>
      <c r="AG19" s="580">
        <f>IF(AND(O19="ベア加算なし",Q19="ベア加算"),AE19,0)</f>
        <v>0</v>
      </c>
      <c r="AH19" s="459"/>
      <c r="AI19" s="460"/>
      <c r="AJ19" s="461"/>
      <c r="AK19" s="462"/>
      <c r="AL19" s="463"/>
      <c r="AM19" s="464"/>
      <c r="AN19" s="581" t="str">
        <f t="shared" ref="AN19" si="4">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
      </c>
      <c r="AP19" s="582" t="str">
        <f>IF(K17&lt;&gt;"","P列・R列に色付け","")</f>
        <v/>
      </c>
      <c r="AQ19" s="583"/>
      <c r="AR19" s="583"/>
      <c r="AX19" s="584"/>
      <c r="AY19" s="543" t="str">
        <f>G17</f>
        <v/>
      </c>
    </row>
    <row r="20" spans="1:51" ht="32.1" customHeight="1">
      <c r="A20" s="1241">
        <v>3</v>
      </c>
      <c r="B20" s="1242" t="str">
        <f>IF(基本情報入力シート!C56="","",基本情報入力シート!C56)</f>
        <v/>
      </c>
      <c r="C20" s="1242"/>
      <c r="D20" s="1242"/>
      <c r="E20" s="1242"/>
      <c r="F20" s="1242"/>
      <c r="G20" s="1244" t="str">
        <f>IF(基本情報入力シート!M56="","",基本情報入力シート!M56)</f>
        <v/>
      </c>
      <c r="H20" s="1244" t="str">
        <f>IF(基本情報入力シート!R56="","",基本情報入力シート!R56)</f>
        <v/>
      </c>
      <c r="I20" s="1244" t="str">
        <f>IF(基本情報入力シート!W56="","",基本情報入力シート!W56)</f>
        <v/>
      </c>
      <c r="J20" s="1244" t="str">
        <f>IF(基本情報入力シート!X56="","",基本情報入力シート!X56)</f>
        <v/>
      </c>
      <c r="K20" s="1244" t="str">
        <f>IF(基本情報入力シート!Y56="","",基本情報入力シート!Y56)</f>
        <v/>
      </c>
      <c r="L20" s="1296" t="str">
        <f>IF(基本情報入力シート!AB56="","",基本情報入力シート!AB56)</f>
        <v/>
      </c>
      <c r="M20" s="1297" t="str">
        <f>IF(基本情報入力シート!AC56="","",基本情報入力シート!AC56)</f>
        <v/>
      </c>
      <c r="N20" s="547" t="s">
        <v>183</v>
      </c>
      <c r="O20" s="151"/>
      <c r="P20" s="548" t="str">
        <f>IFERROR(VLOOKUP(K20,【参考】数式用!$A$5:$J$27,MATCH(O20,【参考】数式用!$B$4:$J$4,0)+1,0),"")</f>
        <v/>
      </c>
      <c r="Q20" s="151"/>
      <c r="R20" s="548" t="str">
        <f>IFERROR(VLOOKUP(K20,【参考】数式用!$A$5:$J$27,MATCH(Q20,【参考】数式用!$B$4:$J$4,0)+1,0),"")</f>
        <v/>
      </c>
      <c r="S20" s="549" t="s">
        <v>19</v>
      </c>
      <c r="T20" s="550">
        <v>6</v>
      </c>
      <c r="U20" s="202" t="s">
        <v>10</v>
      </c>
      <c r="V20" s="71">
        <v>4</v>
      </c>
      <c r="W20" s="202" t="s">
        <v>45</v>
      </c>
      <c r="X20" s="550">
        <v>6</v>
      </c>
      <c r="Y20" s="202" t="s">
        <v>10</v>
      </c>
      <c r="Z20" s="71">
        <v>5</v>
      </c>
      <c r="AA20" s="202" t="s">
        <v>13</v>
      </c>
      <c r="AB20" s="551" t="s">
        <v>24</v>
      </c>
      <c r="AC20" s="552">
        <f t="shared" ref="AC20:AC34" si="5">IF(V20&gt;=1,(X20*12+Z20)-(T20*12+V20)+1,"")</f>
        <v>2</v>
      </c>
      <c r="AD20" s="202" t="s">
        <v>38</v>
      </c>
      <c r="AE20" s="553" t="str">
        <f>IFERROR(ROUNDDOWN(ROUND(L20*R20,0)*M20,0)*AC20,"")</f>
        <v/>
      </c>
      <c r="AF20" s="554" t="str">
        <f>IFERROR(ROUNDDOWN(ROUND(L20*(R20-P20),0)*M20,0)*AC20,"")</f>
        <v/>
      </c>
      <c r="AG20" s="555"/>
      <c r="AH20" s="465"/>
      <c r="AI20" s="466"/>
      <c r="AJ20" s="470"/>
      <c r="AK20" s="471"/>
      <c r="AL20" s="451"/>
      <c r="AM20" s="452"/>
      <c r="AN20" s="556" t="str">
        <f t="shared" ref="AN20" si="6">IF(AP20="","",IF(R20&lt;P20,"！加算の要件上は問題ありませんが、令和６年３月と比較して４・５月に加算率が下がる計画になっています。",""))</f>
        <v/>
      </c>
      <c r="AP20" s="557" t="str">
        <f>IF(K20&lt;&gt;"","P列・R列に色付け","")</f>
        <v/>
      </c>
      <c r="AQ20" s="558" t="str">
        <f>IFERROR(VLOOKUP(K20,【参考】数式用!$AJ$2:$AK$24,2,FALSE),"")</f>
        <v/>
      </c>
      <c r="AR20" s="560" t="str">
        <f>Q20&amp;Q21&amp;Q22</f>
        <v/>
      </c>
      <c r="AS20" s="558" t="str">
        <f t="shared" ref="AS20" si="7">IF(AG22&lt;&gt;0,IF(AH22="○","入力済","未入力"),"")</f>
        <v/>
      </c>
      <c r="AT20" s="559" t="str">
        <f>IF(OR(Q20="処遇加算Ⅰ",Q20="処遇加算Ⅱ"),IF(OR(AI20="○",AI20="令和６年度中に満たす"),"入力済","未入力"),"")</f>
        <v/>
      </c>
      <c r="AU20" s="560" t="str">
        <f>IF(Q20="処遇加算Ⅲ",IF(AJ20="○","入力済","未入力"),"")</f>
        <v/>
      </c>
      <c r="AV20" s="558" t="str">
        <f>IF(Q20="処遇加算Ⅰ",IF(OR(AK20="○",AK20="令和６年度中に満たす"),"入力済","未入力"),"")</f>
        <v/>
      </c>
      <c r="AW20" s="558"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43" t="str">
        <f>IF(Q21="特定加算Ⅰ",IF(AM21="","未入力","入力済"),"")</f>
        <v/>
      </c>
      <c r="AY20" s="543" t="str">
        <f>G20</f>
        <v/>
      </c>
    </row>
    <row r="21" spans="1:51" ht="32.1" customHeight="1">
      <c r="A21" s="1226"/>
      <c r="B21" s="1223"/>
      <c r="C21" s="1223"/>
      <c r="D21" s="1223"/>
      <c r="E21" s="1223"/>
      <c r="F21" s="1223"/>
      <c r="G21" s="1235"/>
      <c r="H21" s="1235"/>
      <c r="I21" s="1235"/>
      <c r="J21" s="1235"/>
      <c r="K21" s="1235"/>
      <c r="L21" s="1238"/>
      <c r="M21" s="1293"/>
      <c r="N21" s="561" t="s">
        <v>170</v>
      </c>
      <c r="O21" s="152"/>
      <c r="P21" s="562" t="str">
        <f>IFERROR(VLOOKUP(K20,【参考】数式用!$A$5:$J$27,MATCH(O21,【参考】数式用!$B$4:$J$4,0)+1,0),"")</f>
        <v/>
      </c>
      <c r="Q21" s="152"/>
      <c r="R21" s="562" t="str">
        <f>IFERROR(VLOOKUP(K20,【参考】数式用!$A$5:$J$27,MATCH(Q21,【参考】数式用!$B$4:$J$4,0)+1,0),"")</f>
        <v/>
      </c>
      <c r="S21" s="173" t="s">
        <v>19</v>
      </c>
      <c r="T21" s="563">
        <v>6</v>
      </c>
      <c r="U21" s="174" t="s">
        <v>10</v>
      </c>
      <c r="V21" s="109">
        <v>4</v>
      </c>
      <c r="W21" s="174" t="s">
        <v>45</v>
      </c>
      <c r="X21" s="563">
        <v>6</v>
      </c>
      <c r="Y21" s="174" t="s">
        <v>10</v>
      </c>
      <c r="Z21" s="109">
        <v>5</v>
      </c>
      <c r="AA21" s="174" t="s">
        <v>13</v>
      </c>
      <c r="AB21" s="564" t="s">
        <v>24</v>
      </c>
      <c r="AC21" s="565">
        <f>IF(V21&gt;=1,(X21*12+Z21)-(T21*12+V21)+1,"")</f>
        <v>2</v>
      </c>
      <c r="AD21" s="174" t="s">
        <v>38</v>
      </c>
      <c r="AE21" s="566" t="str">
        <f>IFERROR(ROUNDDOWN(ROUND(L20*R21,0)*M20,0)*AC21,"")</f>
        <v/>
      </c>
      <c r="AF21" s="567" t="str">
        <f>IFERROR(ROUNDDOWN(ROUND(L20*(R21-P21),0)*M20,0)*AC21,"")</f>
        <v/>
      </c>
      <c r="AG21" s="568"/>
      <c r="AH21" s="453"/>
      <c r="AI21" s="454"/>
      <c r="AJ21" s="455"/>
      <c r="AK21" s="456"/>
      <c r="AL21" s="457"/>
      <c r="AM21" s="458"/>
      <c r="AN21" s="569" t="str">
        <f t="shared" ref="AN21" si="8">IF(AP20="","",IF(OR(Z20=4,Z21=4,Z22=4),"！加算の要件上は問題ありませんが、算定期間の終わりが令和６年５月になっていません。区分変更の場合は、「基本情報入力シート」で同じ事業所を２行に分けて記入してください。",""))</f>
        <v/>
      </c>
      <c r="AO21" s="570"/>
      <c r="AP21" s="557" t="str">
        <f>IF(K20&lt;&gt;"","P列・R列に色付け","")</f>
        <v/>
      </c>
      <c r="AY21" s="543" t="str">
        <f>G20</f>
        <v/>
      </c>
    </row>
    <row r="22" spans="1:51" ht="32.1" customHeight="1" thickBot="1">
      <c r="A22" s="1240"/>
      <c r="B22" s="1243"/>
      <c r="C22" s="1243"/>
      <c r="D22" s="1243"/>
      <c r="E22" s="1243"/>
      <c r="F22" s="1243"/>
      <c r="G22" s="1245"/>
      <c r="H22" s="1245"/>
      <c r="I22" s="1245"/>
      <c r="J22" s="1245"/>
      <c r="K22" s="1245"/>
      <c r="L22" s="1298"/>
      <c r="M22" s="1299"/>
      <c r="N22" s="571" t="s">
        <v>140</v>
      </c>
      <c r="O22" s="153"/>
      <c r="P22" s="572" t="str">
        <f>IFERROR(VLOOKUP(K20,【参考】数式用!$A$5:$J$27,MATCH(O22,【参考】数式用!$B$4:$J$4,0)+1,0),"")</f>
        <v/>
      </c>
      <c r="Q22" s="153"/>
      <c r="R22" s="572" t="str">
        <f>IFERROR(VLOOKUP(K20,【参考】数式用!$A$5:$J$27,MATCH(Q22,【参考】数式用!$B$4:$J$4,0)+1,0),"")</f>
        <v/>
      </c>
      <c r="S22" s="573" t="s">
        <v>19</v>
      </c>
      <c r="T22" s="574">
        <v>6</v>
      </c>
      <c r="U22" s="575" t="s">
        <v>10</v>
      </c>
      <c r="V22" s="110">
        <v>4</v>
      </c>
      <c r="W22" s="575" t="s">
        <v>45</v>
      </c>
      <c r="X22" s="574">
        <v>6</v>
      </c>
      <c r="Y22" s="575" t="s">
        <v>10</v>
      </c>
      <c r="Z22" s="110">
        <v>5</v>
      </c>
      <c r="AA22" s="575" t="s">
        <v>13</v>
      </c>
      <c r="AB22" s="576" t="s">
        <v>24</v>
      </c>
      <c r="AC22" s="577">
        <f t="shared" si="5"/>
        <v>2</v>
      </c>
      <c r="AD22" s="575" t="s">
        <v>38</v>
      </c>
      <c r="AE22" s="590" t="str">
        <f>IFERROR(ROUNDDOWN(ROUND(L20*R22,0)*M20,0)*AC22,"")</f>
        <v/>
      </c>
      <c r="AF22" s="579" t="str">
        <f>IFERROR(ROUNDDOWN(ROUND(L20*(R22-P22),0)*M20,0)*AC22,"")</f>
        <v/>
      </c>
      <c r="AG22" s="580">
        <f t="shared" ref="AG22" si="9">IF(AND(O22="ベア加算なし",Q22="ベア加算"),AE22,0)</f>
        <v>0</v>
      </c>
      <c r="AH22" s="472"/>
      <c r="AI22" s="460"/>
      <c r="AJ22" s="461"/>
      <c r="AK22" s="462"/>
      <c r="AL22" s="463"/>
      <c r="AM22" s="464"/>
      <c r="AN22" s="581" t="str">
        <f t="shared" ref="AN22" si="10">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82" t="str">
        <f>IF(K20&lt;&gt;"","P列・R列に色付け","")</f>
        <v/>
      </c>
      <c r="AQ22" s="583"/>
      <c r="AR22" s="583"/>
      <c r="AX22" s="584"/>
      <c r="AY22" s="543" t="str">
        <f>G20</f>
        <v/>
      </c>
    </row>
    <row r="23" spans="1:51" ht="32.1" customHeight="1">
      <c r="A23" s="1225">
        <v>4</v>
      </c>
      <c r="B23" s="1222" t="str">
        <f>IF(基本情報入力シート!C57="","",基本情報入力シート!C57)</f>
        <v/>
      </c>
      <c r="C23" s="1222"/>
      <c r="D23" s="1222"/>
      <c r="E23" s="1222"/>
      <c r="F23" s="1222"/>
      <c r="G23" s="1234" t="str">
        <f>IF(基本情報入力シート!M57="","",基本情報入力シート!M57)</f>
        <v/>
      </c>
      <c r="H23" s="1234" t="str">
        <f>IF(基本情報入力シート!R57="","",基本情報入力シート!R57)</f>
        <v/>
      </c>
      <c r="I23" s="1234" t="str">
        <f>IF(基本情報入力シート!W57="","",基本情報入力シート!W57)</f>
        <v/>
      </c>
      <c r="J23" s="1234" t="str">
        <f>IF(基本情報入力シート!X57="","",基本情報入力シート!X57)</f>
        <v/>
      </c>
      <c r="K23" s="1234" t="str">
        <f>IF(基本情報入力シート!Y57="","",基本情報入力シート!Y57)</f>
        <v/>
      </c>
      <c r="L23" s="1237" t="str">
        <f>IF(基本情報入力シート!AB57="","",基本情報入力シート!AB57)</f>
        <v/>
      </c>
      <c r="M23" s="1292" t="str">
        <f>IF(基本情報入力シート!AC57="","",基本情報入力シート!AC57)</f>
        <v/>
      </c>
      <c r="N23" s="547" t="s">
        <v>183</v>
      </c>
      <c r="O23" s="151"/>
      <c r="P23" s="548" t="str">
        <f>IFERROR(VLOOKUP(K23,【参考】数式用!$A$5:$J$27,MATCH(O23,【参考】数式用!$B$4:$J$4,0)+1,0),"")</f>
        <v/>
      </c>
      <c r="Q23" s="151"/>
      <c r="R23" s="548" t="str">
        <f>IFERROR(VLOOKUP(K23,【参考】数式用!$A$5:$J$27,MATCH(Q23,【参考】数式用!$B$4:$J$4,0)+1,0),"")</f>
        <v/>
      </c>
      <c r="S23" s="549" t="s">
        <v>19</v>
      </c>
      <c r="T23" s="550">
        <v>6</v>
      </c>
      <c r="U23" s="202" t="s">
        <v>10</v>
      </c>
      <c r="V23" s="71">
        <v>4</v>
      </c>
      <c r="W23" s="202" t="s">
        <v>45</v>
      </c>
      <c r="X23" s="550">
        <v>6</v>
      </c>
      <c r="Y23" s="202" t="s">
        <v>10</v>
      </c>
      <c r="Z23" s="71">
        <v>5</v>
      </c>
      <c r="AA23" s="202" t="s">
        <v>13</v>
      </c>
      <c r="AB23" s="551" t="s">
        <v>24</v>
      </c>
      <c r="AC23" s="552">
        <f t="shared" si="5"/>
        <v>2</v>
      </c>
      <c r="AD23" s="202" t="s">
        <v>38</v>
      </c>
      <c r="AE23" s="553" t="str">
        <f>IFERROR(ROUNDDOWN(ROUND(L23*R23,0)*M23,0)*AC23,"")</f>
        <v/>
      </c>
      <c r="AF23" s="554" t="str">
        <f>IFERROR(ROUNDDOWN(ROUND(L23*(R23-P23),0)*M23,0)*AC23,"")</f>
        <v/>
      </c>
      <c r="AG23" s="555"/>
      <c r="AH23" s="465"/>
      <c r="AI23" s="466"/>
      <c r="AJ23" s="470"/>
      <c r="AK23" s="471"/>
      <c r="AL23" s="451"/>
      <c r="AM23" s="452"/>
      <c r="AN23" s="556" t="str">
        <f t="shared" ref="AN23" si="11">IF(AP23="","",IF(R23&lt;P23,"！加算の要件上は問題ありませんが、令和６年３月と比較して４・５月に加算率が下がる計画になっています。",""))</f>
        <v/>
      </c>
      <c r="AP23" s="557" t="str">
        <f>IF(K23&lt;&gt;"","P列・R列に色付け","")</f>
        <v/>
      </c>
      <c r="AQ23" s="558" t="str">
        <f>IFERROR(VLOOKUP(K23,【参考】数式用!$AJ$2:$AK$24,2,FALSE),"")</f>
        <v/>
      </c>
      <c r="AR23" s="560" t="str">
        <f>Q23&amp;Q24&amp;Q25</f>
        <v/>
      </c>
      <c r="AS23" s="558" t="str">
        <f t="shared" ref="AS23" si="12">IF(AG25&lt;&gt;0,IF(AH25="○","入力済","未入力"),"")</f>
        <v/>
      </c>
      <c r="AT23" s="559" t="str">
        <f>IF(OR(Q23="処遇加算Ⅰ",Q23="処遇加算Ⅱ"),IF(OR(AI23="○",AI23="令和６年度中に満たす"),"入力済","未入力"),"")</f>
        <v/>
      </c>
      <c r="AU23" s="560" t="str">
        <f>IF(Q23="処遇加算Ⅲ",IF(AJ23="○","入力済","未入力"),"")</f>
        <v/>
      </c>
      <c r="AV23" s="558" t="str">
        <f>IF(Q23="処遇加算Ⅰ",IF(OR(AK23="○",AK23="令和６年度中に満たす"),"入力済","未入力"),"")</f>
        <v/>
      </c>
      <c r="AW23" s="558"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43" t="str">
        <f>IF(Q24="特定加算Ⅰ",IF(AM24="","未入力","入力済"),"")</f>
        <v/>
      </c>
      <c r="AY23" s="543" t="str">
        <f>G23</f>
        <v/>
      </c>
    </row>
    <row r="24" spans="1:51" ht="32.1" customHeight="1">
      <c r="A24" s="1226"/>
      <c r="B24" s="1223"/>
      <c r="C24" s="1223"/>
      <c r="D24" s="1223"/>
      <c r="E24" s="1223"/>
      <c r="F24" s="1223"/>
      <c r="G24" s="1235"/>
      <c r="H24" s="1235"/>
      <c r="I24" s="1235"/>
      <c r="J24" s="1235"/>
      <c r="K24" s="1235"/>
      <c r="L24" s="1238"/>
      <c r="M24" s="1293"/>
      <c r="N24" s="561" t="s">
        <v>170</v>
      </c>
      <c r="O24" s="152"/>
      <c r="P24" s="562" t="str">
        <f>IFERROR(VLOOKUP(K23,【参考】数式用!$A$5:$J$27,MATCH(O24,【参考】数式用!$B$4:$J$4,0)+1,0),"")</f>
        <v/>
      </c>
      <c r="Q24" s="152"/>
      <c r="R24" s="562" t="str">
        <f>IFERROR(VLOOKUP(K23,【参考】数式用!$A$5:$J$27,MATCH(Q24,【参考】数式用!$B$4:$J$4,0)+1,0),"")</f>
        <v/>
      </c>
      <c r="S24" s="173" t="s">
        <v>19</v>
      </c>
      <c r="T24" s="563">
        <v>6</v>
      </c>
      <c r="U24" s="174" t="s">
        <v>10</v>
      </c>
      <c r="V24" s="109">
        <v>4</v>
      </c>
      <c r="W24" s="174" t="s">
        <v>45</v>
      </c>
      <c r="X24" s="563">
        <v>6</v>
      </c>
      <c r="Y24" s="174" t="s">
        <v>10</v>
      </c>
      <c r="Z24" s="109">
        <v>5</v>
      </c>
      <c r="AA24" s="174" t="s">
        <v>13</v>
      </c>
      <c r="AB24" s="564" t="s">
        <v>24</v>
      </c>
      <c r="AC24" s="565">
        <f>IF(V24&gt;=1,(X24*12+Z24)-(T24*12+V24)+1,"")</f>
        <v>2</v>
      </c>
      <c r="AD24" s="174" t="s">
        <v>38</v>
      </c>
      <c r="AE24" s="566" t="str">
        <f>IFERROR(ROUNDDOWN(ROUND(L23*R24,0)*M23,0)*AC24,"")</f>
        <v/>
      </c>
      <c r="AF24" s="567" t="str">
        <f>IFERROR(ROUNDDOWN(ROUND(L23*(R24-P24),0)*M23,0)*AC24,"")</f>
        <v/>
      </c>
      <c r="AG24" s="568"/>
      <c r="AH24" s="453"/>
      <c r="AI24" s="454"/>
      <c r="AJ24" s="455"/>
      <c r="AK24" s="456"/>
      <c r="AL24" s="457"/>
      <c r="AM24" s="458"/>
      <c r="AN24" s="569" t="str">
        <f t="shared" ref="AN24" si="13">IF(AP23="","",IF(OR(Z23=4,Z24=4,Z25=4),"！加算の要件上は問題ありませんが、算定期間の終わりが令和６年５月になっていません。区分変更の場合は、「基本情報入力シート」で同じ事業所を２行に分けて記入してください。",""))</f>
        <v/>
      </c>
      <c r="AO24" s="570"/>
      <c r="AP24" s="557" t="str">
        <f>IF(K23&lt;&gt;"","P列・R列に色付け","")</f>
        <v/>
      </c>
      <c r="AY24" s="543" t="str">
        <f>G23</f>
        <v/>
      </c>
    </row>
    <row r="25" spans="1:51" ht="32.1" customHeight="1" thickBot="1">
      <c r="A25" s="1227"/>
      <c r="B25" s="1224"/>
      <c r="C25" s="1224"/>
      <c r="D25" s="1224"/>
      <c r="E25" s="1224"/>
      <c r="F25" s="1224"/>
      <c r="G25" s="1236"/>
      <c r="H25" s="1236"/>
      <c r="I25" s="1236"/>
      <c r="J25" s="1236"/>
      <c r="K25" s="1236"/>
      <c r="L25" s="1239"/>
      <c r="M25" s="1294"/>
      <c r="N25" s="571" t="s">
        <v>140</v>
      </c>
      <c r="O25" s="153"/>
      <c r="P25" s="572" t="str">
        <f>IFERROR(VLOOKUP(K23,【参考】数式用!$A$5:$J$27,MATCH(O25,【参考】数式用!$B$4:$J$4,0)+1,0),"")</f>
        <v/>
      </c>
      <c r="Q25" s="153"/>
      <c r="R25" s="572" t="str">
        <f>IFERROR(VLOOKUP(K23,【参考】数式用!$A$5:$J$27,MATCH(Q25,【参考】数式用!$B$4:$J$4,0)+1,0),"")</f>
        <v/>
      </c>
      <c r="S25" s="573" t="s">
        <v>19</v>
      </c>
      <c r="T25" s="574">
        <v>6</v>
      </c>
      <c r="U25" s="575" t="s">
        <v>10</v>
      </c>
      <c r="V25" s="110">
        <v>4</v>
      </c>
      <c r="W25" s="575" t="s">
        <v>45</v>
      </c>
      <c r="X25" s="574">
        <v>6</v>
      </c>
      <c r="Y25" s="575" t="s">
        <v>10</v>
      </c>
      <c r="Z25" s="110">
        <v>5</v>
      </c>
      <c r="AA25" s="575" t="s">
        <v>13</v>
      </c>
      <c r="AB25" s="576" t="s">
        <v>24</v>
      </c>
      <c r="AC25" s="577">
        <f t="shared" si="5"/>
        <v>2</v>
      </c>
      <c r="AD25" s="575" t="s">
        <v>38</v>
      </c>
      <c r="AE25" s="590" t="str">
        <f>IFERROR(ROUNDDOWN(ROUND(L23*R25,0)*M23,0)*AC25,"")</f>
        <v/>
      </c>
      <c r="AF25" s="579" t="str">
        <f>IFERROR(ROUNDDOWN(ROUND(L23*(R25-P25),0)*M23,0)*AC25,"")</f>
        <v/>
      </c>
      <c r="AG25" s="580">
        <f t="shared" ref="AG25" si="14">IF(AND(O25="ベア加算なし",Q25="ベア加算"),AE25,0)</f>
        <v>0</v>
      </c>
      <c r="AH25" s="472"/>
      <c r="AI25" s="460"/>
      <c r="AJ25" s="461"/>
      <c r="AK25" s="462"/>
      <c r="AL25" s="463"/>
      <c r="AM25" s="464"/>
      <c r="AN25" s="581" t="str">
        <f t="shared" ref="AN25" si="15">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82" t="str">
        <f>IF(K23&lt;&gt;"","P列・R列に色付け","")</f>
        <v/>
      </c>
      <c r="AQ25" s="583"/>
      <c r="AR25" s="583"/>
      <c r="AX25" s="584"/>
      <c r="AY25" s="543" t="str">
        <f>G23</f>
        <v/>
      </c>
    </row>
    <row r="26" spans="1:51" ht="32.1" customHeight="1">
      <c r="A26" s="1241">
        <v>5</v>
      </c>
      <c r="B26" s="1242" t="str">
        <f>IF(基本情報入力シート!C58="","",基本情報入力シート!C58)</f>
        <v/>
      </c>
      <c r="C26" s="1242"/>
      <c r="D26" s="1242"/>
      <c r="E26" s="1242"/>
      <c r="F26" s="1242"/>
      <c r="G26" s="1244" t="str">
        <f>IF(基本情報入力シート!M58="","",基本情報入力シート!M58)</f>
        <v/>
      </c>
      <c r="H26" s="1244" t="str">
        <f>IF(基本情報入力シート!R58="","",基本情報入力シート!R58)</f>
        <v/>
      </c>
      <c r="I26" s="1244" t="str">
        <f>IF(基本情報入力シート!W58="","",基本情報入力シート!W58)</f>
        <v/>
      </c>
      <c r="J26" s="1244" t="str">
        <f>IF(基本情報入力シート!X58="","",基本情報入力シート!X58)</f>
        <v/>
      </c>
      <c r="K26" s="1244" t="str">
        <f>IF(基本情報入力シート!Y58="","",基本情報入力シート!Y58)</f>
        <v/>
      </c>
      <c r="L26" s="1296" t="str">
        <f>IF(基本情報入力シート!AB58="","",基本情報入力シート!AB58)</f>
        <v/>
      </c>
      <c r="M26" s="1297" t="str">
        <f>IF(基本情報入力シート!AC58="","",基本情報入力シート!AC58)</f>
        <v/>
      </c>
      <c r="N26" s="547" t="s">
        <v>183</v>
      </c>
      <c r="O26" s="151"/>
      <c r="P26" s="548" t="str">
        <f>IFERROR(VLOOKUP(K26,【参考】数式用!$A$5:$J$27,MATCH(O26,【参考】数式用!$B$4:$J$4,0)+1,0),"")</f>
        <v/>
      </c>
      <c r="Q26" s="151"/>
      <c r="R26" s="548" t="str">
        <f>IFERROR(VLOOKUP(K26,【参考】数式用!$A$5:$J$27,MATCH(Q26,【参考】数式用!$B$4:$J$4,0)+1,0),"")</f>
        <v/>
      </c>
      <c r="S26" s="549" t="s">
        <v>19</v>
      </c>
      <c r="T26" s="550">
        <v>6</v>
      </c>
      <c r="U26" s="202" t="s">
        <v>10</v>
      </c>
      <c r="V26" s="71">
        <v>4</v>
      </c>
      <c r="W26" s="202" t="s">
        <v>45</v>
      </c>
      <c r="X26" s="550">
        <v>6</v>
      </c>
      <c r="Y26" s="202" t="s">
        <v>10</v>
      </c>
      <c r="Z26" s="71">
        <v>5</v>
      </c>
      <c r="AA26" s="202" t="s">
        <v>13</v>
      </c>
      <c r="AB26" s="551" t="s">
        <v>24</v>
      </c>
      <c r="AC26" s="552">
        <f t="shared" si="5"/>
        <v>2</v>
      </c>
      <c r="AD26" s="202" t="s">
        <v>38</v>
      </c>
      <c r="AE26" s="553" t="str">
        <f>IFERROR(ROUNDDOWN(ROUND(L26*R26,0)*M26,0)*AC26,"")</f>
        <v/>
      </c>
      <c r="AF26" s="554" t="str">
        <f>IFERROR(ROUNDDOWN(ROUND(L26*(R26-P26),0)*M26,0)*AC26,"")</f>
        <v/>
      </c>
      <c r="AG26" s="555"/>
      <c r="AH26" s="465"/>
      <c r="AI26" s="473"/>
      <c r="AJ26" s="474"/>
      <c r="AK26" s="471"/>
      <c r="AL26" s="451"/>
      <c r="AM26" s="452"/>
      <c r="AN26" s="556" t="str">
        <f t="shared" ref="AN26" si="16">IF(AP26="","",IF(R26&lt;P26,"！加算の要件上は問題ありませんが、令和６年３月と比較して４・５月に加算率が下がる計画になっています。",""))</f>
        <v/>
      </c>
      <c r="AP26" s="557" t="str">
        <f>IF(K26&lt;&gt;"","P列・R列に色付け","")</f>
        <v/>
      </c>
      <c r="AQ26" s="558" t="str">
        <f>IFERROR(VLOOKUP(K26,【参考】数式用!$AJ$2:$AK$24,2,FALSE),"")</f>
        <v/>
      </c>
      <c r="AR26" s="560" t="str">
        <f>Q26&amp;Q27&amp;Q28</f>
        <v/>
      </c>
      <c r="AS26" s="558" t="str">
        <f t="shared" ref="AS26" si="17">IF(AG28&lt;&gt;0,IF(AH28="○","入力済","未入力"),"")</f>
        <v/>
      </c>
      <c r="AT26" s="559" t="str">
        <f>IF(OR(Q26="処遇加算Ⅰ",Q26="処遇加算Ⅱ"),IF(OR(AI26="○",AI26="令和６年度中に満たす"),"入力済","未入力"),"")</f>
        <v/>
      </c>
      <c r="AU26" s="560" t="str">
        <f>IF(Q26="処遇加算Ⅲ",IF(AJ26="○","入力済","未入力"),"")</f>
        <v/>
      </c>
      <c r="AV26" s="558" t="str">
        <f>IF(Q26="処遇加算Ⅰ",IF(OR(AK26="○",AK26="令和６年度中に満たす"),"入力済","未入力"),"")</f>
        <v/>
      </c>
      <c r="AW26" s="558"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43" t="str">
        <f>IF(Q27="特定加算Ⅰ",IF(AM27="","未入力","入力済"),"")</f>
        <v/>
      </c>
      <c r="AY26" s="543" t="str">
        <f>G26</f>
        <v/>
      </c>
    </row>
    <row r="27" spans="1:51" ht="32.1" customHeight="1">
      <c r="A27" s="1226"/>
      <c r="B27" s="1223"/>
      <c r="C27" s="1223"/>
      <c r="D27" s="1223"/>
      <c r="E27" s="1223"/>
      <c r="F27" s="1223"/>
      <c r="G27" s="1235"/>
      <c r="H27" s="1235"/>
      <c r="I27" s="1235"/>
      <c r="J27" s="1235"/>
      <c r="K27" s="1235"/>
      <c r="L27" s="1238"/>
      <c r="M27" s="1293"/>
      <c r="N27" s="561" t="s">
        <v>170</v>
      </c>
      <c r="O27" s="152"/>
      <c r="P27" s="562" t="str">
        <f>IFERROR(VLOOKUP(K26,【参考】数式用!$A$5:$J$27,MATCH(O27,【参考】数式用!$B$4:$J$4,0)+1,0),"")</f>
        <v/>
      </c>
      <c r="Q27" s="152"/>
      <c r="R27" s="562" t="str">
        <f>IFERROR(VLOOKUP(K26,【参考】数式用!$A$5:$J$27,MATCH(Q27,【参考】数式用!$B$4:$J$4,0)+1,0),"")</f>
        <v/>
      </c>
      <c r="S27" s="173" t="s">
        <v>19</v>
      </c>
      <c r="T27" s="563">
        <v>6</v>
      </c>
      <c r="U27" s="174" t="s">
        <v>10</v>
      </c>
      <c r="V27" s="109">
        <v>4</v>
      </c>
      <c r="W27" s="174" t="s">
        <v>45</v>
      </c>
      <c r="X27" s="563">
        <v>6</v>
      </c>
      <c r="Y27" s="174" t="s">
        <v>10</v>
      </c>
      <c r="Z27" s="109">
        <v>5</v>
      </c>
      <c r="AA27" s="174" t="s">
        <v>13</v>
      </c>
      <c r="AB27" s="564" t="s">
        <v>24</v>
      </c>
      <c r="AC27" s="565">
        <f>IF(V27&gt;=1,(X27*12+Z27)-(T27*12+V27)+1,"")</f>
        <v>2</v>
      </c>
      <c r="AD27" s="174" t="s">
        <v>38</v>
      </c>
      <c r="AE27" s="566" t="str">
        <f>IFERROR(ROUNDDOWN(ROUND(L26*R27,0)*M26,0)*AC27,"")</f>
        <v/>
      </c>
      <c r="AF27" s="567" t="str">
        <f>IFERROR(ROUNDDOWN(ROUND(L26*(R27-P27),0)*M26,0)*AC27,"")</f>
        <v/>
      </c>
      <c r="AG27" s="568"/>
      <c r="AH27" s="453"/>
      <c r="AI27" s="454"/>
      <c r="AJ27" s="455"/>
      <c r="AK27" s="456"/>
      <c r="AL27" s="457"/>
      <c r="AM27" s="458"/>
      <c r="AN27" s="569" t="str">
        <f t="shared" ref="AN27" si="18">IF(AP26="","",IF(OR(Z26=4,Z27=4,Z28=4),"！加算の要件上は問題ありませんが、算定期間の終わりが令和６年５月になっていません。区分変更の場合は、「基本情報入力シート」で同じ事業所を２行に分けて記入してください。",""))</f>
        <v/>
      </c>
      <c r="AO27" s="570"/>
      <c r="AP27" s="557" t="str">
        <f>IF(K26&lt;&gt;"","P列・R列に色付け","")</f>
        <v/>
      </c>
      <c r="AY27" s="543" t="str">
        <f>G26</f>
        <v/>
      </c>
    </row>
    <row r="28" spans="1:51" ht="32.1" customHeight="1" thickBot="1">
      <c r="A28" s="1240"/>
      <c r="B28" s="1243"/>
      <c r="C28" s="1243"/>
      <c r="D28" s="1243"/>
      <c r="E28" s="1243"/>
      <c r="F28" s="1243"/>
      <c r="G28" s="1245"/>
      <c r="H28" s="1245"/>
      <c r="I28" s="1245"/>
      <c r="J28" s="1245"/>
      <c r="K28" s="1245"/>
      <c r="L28" s="1298"/>
      <c r="M28" s="1299"/>
      <c r="N28" s="571" t="s">
        <v>140</v>
      </c>
      <c r="O28" s="153"/>
      <c r="P28" s="572" t="str">
        <f>IFERROR(VLOOKUP(K26,【参考】数式用!$A$5:$J$27,MATCH(O28,【参考】数式用!$B$4:$J$4,0)+1,0),"")</f>
        <v/>
      </c>
      <c r="Q28" s="153"/>
      <c r="R28" s="572" t="str">
        <f>IFERROR(VLOOKUP(K26,【参考】数式用!$A$5:$J$27,MATCH(Q28,【参考】数式用!$B$4:$J$4,0)+1,0),"")</f>
        <v/>
      </c>
      <c r="S28" s="573" t="s">
        <v>19</v>
      </c>
      <c r="T28" s="574">
        <v>6</v>
      </c>
      <c r="U28" s="575" t="s">
        <v>10</v>
      </c>
      <c r="V28" s="110">
        <v>4</v>
      </c>
      <c r="W28" s="575" t="s">
        <v>45</v>
      </c>
      <c r="X28" s="574">
        <v>6</v>
      </c>
      <c r="Y28" s="575" t="s">
        <v>10</v>
      </c>
      <c r="Z28" s="110">
        <v>5</v>
      </c>
      <c r="AA28" s="575" t="s">
        <v>13</v>
      </c>
      <c r="AB28" s="576" t="s">
        <v>24</v>
      </c>
      <c r="AC28" s="577">
        <f t="shared" si="5"/>
        <v>2</v>
      </c>
      <c r="AD28" s="575" t="s">
        <v>38</v>
      </c>
      <c r="AE28" s="590" t="str">
        <f>IFERROR(ROUNDDOWN(ROUND(L26*R28,0)*M26,0)*AC28,"")</f>
        <v/>
      </c>
      <c r="AF28" s="579" t="str">
        <f>IFERROR(ROUNDDOWN(ROUND(L26*(R28-P28),0)*M26,0)*AC28,"")</f>
        <v/>
      </c>
      <c r="AG28" s="580">
        <f t="shared" ref="AG28" si="19">IF(AND(O28="ベア加算なし",Q28="ベア加算"),AE28,0)</f>
        <v>0</v>
      </c>
      <c r="AH28" s="459"/>
      <c r="AI28" s="460"/>
      <c r="AJ28" s="461"/>
      <c r="AK28" s="462"/>
      <c r="AL28" s="463"/>
      <c r="AM28" s="464"/>
      <c r="AN28" s="581" t="str">
        <f t="shared" ref="AN28" si="20">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82" t="str">
        <f>IF(K26&lt;&gt;"","P列・R列に色付け","")</f>
        <v/>
      </c>
      <c r="AQ28" s="583"/>
      <c r="AR28" s="583"/>
      <c r="AX28" s="584"/>
      <c r="AY28" s="543" t="str">
        <f>G26</f>
        <v/>
      </c>
    </row>
    <row r="29" spans="1:51" ht="32.1" customHeight="1">
      <c r="A29" s="1225">
        <v>6</v>
      </c>
      <c r="B29" s="1222" t="str">
        <f>IF(基本情報入力シート!C59="","",基本情報入力シート!C59)</f>
        <v/>
      </c>
      <c r="C29" s="1222"/>
      <c r="D29" s="1222"/>
      <c r="E29" s="1222"/>
      <c r="F29" s="1222"/>
      <c r="G29" s="1234" t="str">
        <f>IF(基本情報入力シート!M59="","",基本情報入力シート!M59)</f>
        <v/>
      </c>
      <c r="H29" s="1234" t="str">
        <f>IF(基本情報入力シート!R59="","",基本情報入力シート!R59)</f>
        <v/>
      </c>
      <c r="I29" s="1234" t="str">
        <f>IF(基本情報入力シート!W59="","",基本情報入力シート!W59)</f>
        <v/>
      </c>
      <c r="J29" s="1234" t="str">
        <f>IF(基本情報入力シート!X59="","",基本情報入力シート!X59)</f>
        <v/>
      </c>
      <c r="K29" s="1234" t="str">
        <f>IF(基本情報入力シート!Y59="","",基本情報入力シート!Y59)</f>
        <v/>
      </c>
      <c r="L29" s="1237" t="str">
        <f>IF(基本情報入力シート!AB59="","",基本情報入力シート!AB59)</f>
        <v/>
      </c>
      <c r="M29" s="1292" t="str">
        <f>IF(基本情報入力シート!AC59="","",基本情報入力シート!AC59)</f>
        <v/>
      </c>
      <c r="N29" s="547" t="s">
        <v>183</v>
      </c>
      <c r="O29" s="151"/>
      <c r="P29" s="548" t="str">
        <f>IFERROR(VLOOKUP(K29,【参考】数式用!$A$5:$J$27,MATCH(O29,【参考】数式用!$B$4:$J$4,0)+1,0),"")</f>
        <v/>
      </c>
      <c r="Q29" s="151"/>
      <c r="R29" s="548" t="str">
        <f>IFERROR(VLOOKUP(K29,【参考】数式用!$A$5:$J$27,MATCH(Q29,【参考】数式用!$B$4:$J$4,0)+1,0),"")</f>
        <v/>
      </c>
      <c r="S29" s="549" t="s">
        <v>19</v>
      </c>
      <c r="T29" s="550">
        <v>6</v>
      </c>
      <c r="U29" s="202" t="s">
        <v>10</v>
      </c>
      <c r="V29" s="71">
        <v>4</v>
      </c>
      <c r="W29" s="202" t="s">
        <v>45</v>
      </c>
      <c r="X29" s="550">
        <v>6</v>
      </c>
      <c r="Y29" s="202" t="s">
        <v>10</v>
      </c>
      <c r="Z29" s="71">
        <v>5</v>
      </c>
      <c r="AA29" s="202" t="s">
        <v>13</v>
      </c>
      <c r="AB29" s="551" t="s">
        <v>24</v>
      </c>
      <c r="AC29" s="552">
        <f t="shared" si="5"/>
        <v>2</v>
      </c>
      <c r="AD29" s="202" t="s">
        <v>38</v>
      </c>
      <c r="AE29" s="553" t="str">
        <f>IFERROR(ROUNDDOWN(ROUND(L29*R29,0)*M29,0)*AC29,"")</f>
        <v/>
      </c>
      <c r="AF29" s="554" t="str">
        <f>IFERROR(ROUNDDOWN(ROUND(L29*(R29-P29),0)*M29,0)*AC29,"")</f>
        <v/>
      </c>
      <c r="AG29" s="555"/>
      <c r="AH29" s="465"/>
      <c r="AI29" s="473"/>
      <c r="AJ29" s="470"/>
      <c r="AK29" s="471"/>
      <c r="AL29" s="451"/>
      <c r="AM29" s="452"/>
      <c r="AN29" s="556" t="str">
        <f t="shared" ref="AN29" si="21">IF(AP29="","",IF(R29&lt;P29,"！加算の要件上は問題ありませんが、令和６年３月と比較して４・５月に加算率が下がる計画になっています。",""))</f>
        <v/>
      </c>
      <c r="AP29" s="557" t="str">
        <f>IF(K29&lt;&gt;"","P列・R列に色付け","")</f>
        <v/>
      </c>
      <c r="AQ29" s="558" t="str">
        <f>IFERROR(VLOOKUP(K29,【参考】数式用!$AJ$2:$AK$24,2,FALSE),"")</f>
        <v/>
      </c>
      <c r="AR29" s="560" t="str">
        <f>Q29&amp;Q30&amp;Q31</f>
        <v/>
      </c>
      <c r="AS29" s="558" t="str">
        <f t="shared" ref="AS29" si="22">IF(AG31&lt;&gt;0,IF(AH31="○","入力済","未入力"),"")</f>
        <v/>
      </c>
      <c r="AT29" s="559" t="str">
        <f>IF(OR(Q29="処遇加算Ⅰ",Q29="処遇加算Ⅱ"),IF(OR(AI29="○",AI29="令和６年度中に満たす"),"入力済","未入力"),"")</f>
        <v/>
      </c>
      <c r="AU29" s="560" t="str">
        <f>IF(Q29="処遇加算Ⅲ",IF(AJ29="○","入力済","未入力"),"")</f>
        <v/>
      </c>
      <c r="AV29" s="558" t="str">
        <f>IF(Q29="処遇加算Ⅰ",IF(OR(AK29="○",AK29="令和６年度中に満たす"),"入力済","未入力"),"")</f>
        <v/>
      </c>
      <c r="AW29" s="558" t="str">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
      </c>
      <c r="AX29" s="543" t="str">
        <f>IF(Q30="特定加算Ⅰ",IF(AM30="","未入力","入力済"),"")</f>
        <v/>
      </c>
      <c r="AY29" s="543" t="str">
        <f>G29</f>
        <v/>
      </c>
    </row>
    <row r="30" spans="1:51" ht="32.1" customHeight="1">
      <c r="A30" s="1226"/>
      <c r="B30" s="1223"/>
      <c r="C30" s="1223"/>
      <c r="D30" s="1223"/>
      <c r="E30" s="1223"/>
      <c r="F30" s="1223"/>
      <c r="G30" s="1235"/>
      <c r="H30" s="1235"/>
      <c r="I30" s="1235"/>
      <c r="J30" s="1235"/>
      <c r="K30" s="1235"/>
      <c r="L30" s="1238"/>
      <c r="M30" s="1293"/>
      <c r="N30" s="561" t="s">
        <v>170</v>
      </c>
      <c r="O30" s="152"/>
      <c r="P30" s="562" t="str">
        <f>IFERROR(VLOOKUP(K29,【参考】数式用!$A$5:$J$27,MATCH(O30,【参考】数式用!$B$4:$J$4,0)+1,0),"")</f>
        <v/>
      </c>
      <c r="Q30" s="152"/>
      <c r="R30" s="562" t="str">
        <f>IFERROR(VLOOKUP(K29,【参考】数式用!$A$5:$J$27,MATCH(Q30,【参考】数式用!$B$4:$J$4,0)+1,0),"")</f>
        <v/>
      </c>
      <c r="S30" s="173" t="s">
        <v>19</v>
      </c>
      <c r="T30" s="563">
        <v>6</v>
      </c>
      <c r="U30" s="174" t="s">
        <v>10</v>
      </c>
      <c r="V30" s="109">
        <v>4</v>
      </c>
      <c r="W30" s="174" t="s">
        <v>45</v>
      </c>
      <c r="X30" s="563">
        <v>6</v>
      </c>
      <c r="Y30" s="174" t="s">
        <v>10</v>
      </c>
      <c r="Z30" s="109">
        <v>5</v>
      </c>
      <c r="AA30" s="174" t="s">
        <v>13</v>
      </c>
      <c r="AB30" s="564" t="s">
        <v>24</v>
      </c>
      <c r="AC30" s="565">
        <f t="shared" si="5"/>
        <v>2</v>
      </c>
      <c r="AD30" s="174" t="s">
        <v>38</v>
      </c>
      <c r="AE30" s="566" t="str">
        <f>IFERROR(ROUNDDOWN(ROUND(L29*R30,0)*M29,0)*AC30,"")</f>
        <v/>
      </c>
      <c r="AF30" s="567" t="str">
        <f>IFERROR(ROUNDDOWN(ROUND(L29*(R30-P30),0)*M29,0)*AC30,"")</f>
        <v/>
      </c>
      <c r="AG30" s="568"/>
      <c r="AH30" s="453"/>
      <c r="AI30" s="454"/>
      <c r="AJ30" s="455"/>
      <c r="AK30" s="456"/>
      <c r="AL30" s="457"/>
      <c r="AM30" s="458"/>
      <c r="AN30" s="569" t="str">
        <f t="shared" ref="AN30" si="23">IF(AP29="","",IF(OR(Z29=4,Z30=4,Z31=4),"！加算の要件上は問題ありませんが、算定期間の終わりが令和６年５月になっていません。区分変更の場合は、「基本情報入力シート」で同じ事業所を２行に分けて記入してください。",""))</f>
        <v/>
      </c>
      <c r="AO30" s="570"/>
      <c r="AP30" s="557" t="str">
        <f>IF(K29&lt;&gt;"","P列・R列に色付け","")</f>
        <v/>
      </c>
      <c r="AY30" s="543" t="str">
        <f>G29</f>
        <v/>
      </c>
    </row>
    <row r="31" spans="1:51" ht="32.1" customHeight="1" thickBot="1">
      <c r="A31" s="1227"/>
      <c r="B31" s="1224"/>
      <c r="C31" s="1224"/>
      <c r="D31" s="1224"/>
      <c r="E31" s="1224"/>
      <c r="F31" s="1224"/>
      <c r="G31" s="1236"/>
      <c r="H31" s="1236"/>
      <c r="I31" s="1236"/>
      <c r="J31" s="1236"/>
      <c r="K31" s="1236"/>
      <c r="L31" s="1239"/>
      <c r="M31" s="1294"/>
      <c r="N31" s="585" t="s">
        <v>140</v>
      </c>
      <c r="O31" s="155"/>
      <c r="P31" s="572" t="str">
        <f>IFERROR(VLOOKUP(K29,【参考】数式用!$A$5:$J$27,MATCH(O31,【参考】数式用!$B$4:$J$4,0)+1,0),"")</f>
        <v/>
      </c>
      <c r="Q31" s="155"/>
      <c r="R31" s="591" t="str">
        <f>IFERROR(VLOOKUP(K29,【参考】数式用!$A$5:$J$27,MATCH(Q31,【参考】数式用!$B$4:$J$4,0)+1,0),"")</f>
        <v/>
      </c>
      <c r="S31" s="592" t="s">
        <v>19</v>
      </c>
      <c r="T31" s="593">
        <v>6</v>
      </c>
      <c r="U31" s="211" t="s">
        <v>10</v>
      </c>
      <c r="V31" s="123">
        <v>4</v>
      </c>
      <c r="W31" s="211" t="s">
        <v>45</v>
      </c>
      <c r="X31" s="593">
        <v>6</v>
      </c>
      <c r="Y31" s="211" t="s">
        <v>10</v>
      </c>
      <c r="Z31" s="123">
        <v>5</v>
      </c>
      <c r="AA31" s="211" t="s">
        <v>13</v>
      </c>
      <c r="AB31" s="594" t="s">
        <v>24</v>
      </c>
      <c r="AC31" s="595">
        <f t="shared" si="5"/>
        <v>2</v>
      </c>
      <c r="AD31" s="211" t="s">
        <v>38</v>
      </c>
      <c r="AE31" s="596" t="str">
        <f>IFERROR(ROUNDDOWN(ROUND(L29*R31,0)*M29,0)*AC31,"")</f>
        <v/>
      </c>
      <c r="AF31" s="579" t="str">
        <f>IFERROR(ROUNDDOWN(ROUND(L29*(R31-P31),0)*M29,0)*AC31,"")</f>
        <v/>
      </c>
      <c r="AG31" s="580">
        <f t="shared" ref="AG31" si="24">IF(AND(O31="ベア加算なし",Q31="ベア加算"),AE31,0)</f>
        <v>0</v>
      </c>
      <c r="AH31" s="459"/>
      <c r="AI31" s="460"/>
      <c r="AJ31" s="461"/>
      <c r="AK31" s="462"/>
      <c r="AL31" s="463"/>
      <c r="AM31" s="464"/>
      <c r="AN31" s="581" t="str">
        <f t="shared" ref="AN31" si="25">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82" t="str">
        <f>IF(K29&lt;&gt;"","P列・R列に色付け","")</f>
        <v/>
      </c>
      <c r="AQ31" s="583"/>
      <c r="AR31" s="583"/>
      <c r="AX31" s="584"/>
      <c r="AY31" s="543" t="str">
        <f>G29</f>
        <v/>
      </c>
    </row>
    <row r="32" spans="1:51" ht="32.1" customHeight="1">
      <c r="A32" s="1225">
        <v>7</v>
      </c>
      <c r="B32" s="1222" t="str">
        <f>IF(基本情報入力シート!C60="","",基本情報入力シート!C60)</f>
        <v/>
      </c>
      <c r="C32" s="1222"/>
      <c r="D32" s="1222"/>
      <c r="E32" s="1222"/>
      <c r="F32" s="1222"/>
      <c r="G32" s="1234" t="str">
        <f>IF(基本情報入力シート!M60="","",基本情報入力シート!M60)</f>
        <v/>
      </c>
      <c r="H32" s="1234" t="str">
        <f>IF(基本情報入力シート!R60="","",基本情報入力シート!R60)</f>
        <v/>
      </c>
      <c r="I32" s="1234" t="str">
        <f>IF(基本情報入力シート!W60="","",基本情報入力シート!W60)</f>
        <v/>
      </c>
      <c r="J32" s="1234" t="str">
        <f>IF(基本情報入力シート!X60="","",基本情報入力シート!X60)</f>
        <v/>
      </c>
      <c r="K32" s="1234" t="str">
        <f>IF(基本情報入力シート!Y60="","",基本情報入力シート!Y60)</f>
        <v/>
      </c>
      <c r="L32" s="1237" t="str">
        <f>IF(基本情報入力シート!AB60="","",基本情報入力シート!AB60)</f>
        <v/>
      </c>
      <c r="M32" s="1292" t="str">
        <f>IF(基本情報入力シート!AC60="","",基本情報入力シート!AC60)</f>
        <v/>
      </c>
      <c r="N32" s="547" t="s">
        <v>183</v>
      </c>
      <c r="O32" s="151"/>
      <c r="P32" s="548" t="str">
        <f>IFERROR(VLOOKUP(K32,【参考】数式用!$A$5:$J$27,MATCH(O32,【参考】数式用!$B$4:$J$4,0)+1,0),"")</f>
        <v/>
      </c>
      <c r="Q32" s="151"/>
      <c r="R32" s="548" t="str">
        <f>IFERROR(VLOOKUP(K32,【参考】数式用!$A$5:$J$27,MATCH(Q32,【参考】数式用!$B$4:$J$4,0)+1,0),"")</f>
        <v/>
      </c>
      <c r="S32" s="549" t="s">
        <v>19</v>
      </c>
      <c r="T32" s="550">
        <v>6</v>
      </c>
      <c r="U32" s="202" t="s">
        <v>10</v>
      </c>
      <c r="V32" s="71">
        <v>4</v>
      </c>
      <c r="W32" s="202" t="s">
        <v>45</v>
      </c>
      <c r="X32" s="550">
        <v>6</v>
      </c>
      <c r="Y32" s="202" t="s">
        <v>10</v>
      </c>
      <c r="Z32" s="71">
        <v>5</v>
      </c>
      <c r="AA32" s="202" t="s">
        <v>13</v>
      </c>
      <c r="AB32" s="551" t="s">
        <v>24</v>
      </c>
      <c r="AC32" s="552">
        <f t="shared" si="5"/>
        <v>2</v>
      </c>
      <c r="AD32" s="202" t="s">
        <v>38</v>
      </c>
      <c r="AE32" s="553" t="str">
        <f>IFERROR(ROUNDDOWN(ROUND(L32*R32,0)*M32,0)*AC32,"")</f>
        <v/>
      </c>
      <c r="AF32" s="554" t="str">
        <f>IFERROR(ROUNDDOWN(ROUND(L32*(R32-P32),0)*M32,0)*AC32,"")</f>
        <v/>
      </c>
      <c r="AG32" s="555"/>
      <c r="AH32" s="465"/>
      <c r="AI32" s="473"/>
      <c r="AJ32" s="470"/>
      <c r="AK32" s="471"/>
      <c r="AL32" s="451"/>
      <c r="AM32" s="452"/>
      <c r="AN32" s="556" t="str">
        <f t="shared" ref="AN32" si="26">IF(AP32="","",IF(R32&lt;P32,"！加算の要件上は問題ありませんが、令和６年３月と比較して４・５月に加算率が下がる計画になっています。",""))</f>
        <v/>
      </c>
      <c r="AP32" s="557" t="str">
        <f>IF(K32&lt;&gt;"","P列・R列に色付け","")</f>
        <v/>
      </c>
      <c r="AQ32" s="558" t="str">
        <f>IFERROR(VLOOKUP(K32,【参考】数式用!$AJ$2:$AK$24,2,FALSE),"")</f>
        <v/>
      </c>
      <c r="AR32" s="560" t="str">
        <f>Q32&amp;Q33&amp;Q34</f>
        <v/>
      </c>
      <c r="AS32" s="558" t="str">
        <f t="shared" ref="AS32" si="27">IF(AG34&lt;&gt;0,IF(AH34="○","入力済","未入力"),"")</f>
        <v/>
      </c>
      <c r="AT32" s="559" t="str">
        <f>IF(OR(Q32="処遇加算Ⅰ",Q32="処遇加算Ⅱ"),IF(OR(AI32="○",AI32="令和６年度中に満たす"),"入力済","未入力"),"")</f>
        <v/>
      </c>
      <c r="AU32" s="560" t="str">
        <f>IF(Q32="処遇加算Ⅲ",IF(AJ32="○","入力済","未入力"),"")</f>
        <v/>
      </c>
      <c r="AV32" s="558" t="str">
        <f>IF(Q32="処遇加算Ⅰ",IF(OR(AK32="○",AK32="令和６年度中に満たす"),"入力済","未入力"),"")</f>
        <v/>
      </c>
      <c r="AW32" s="558"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43" t="str">
        <f>IF(Q33="特定加算Ⅰ",IF(AM33="","未入力","入力済"),"")</f>
        <v/>
      </c>
      <c r="AY32" s="543" t="str">
        <f>G32</f>
        <v/>
      </c>
    </row>
    <row r="33" spans="1:51" ht="32.1" customHeight="1">
      <c r="A33" s="1226"/>
      <c r="B33" s="1223"/>
      <c r="C33" s="1223"/>
      <c r="D33" s="1223"/>
      <c r="E33" s="1223"/>
      <c r="F33" s="1223"/>
      <c r="G33" s="1235"/>
      <c r="H33" s="1235"/>
      <c r="I33" s="1235"/>
      <c r="J33" s="1235"/>
      <c r="K33" s="1235"/>
      <c r="L33" s="1238"/>
      <c r="M33" s="1293"/>
      <c r="N33" s="561" t="s">
        <v>170</v>
      </c>
      <c r="O33" s="152"/>
      <c r="P33" s="562" t="str">
        <f>IFERROR(VLOOKUP(K32,【参考】数式用!$A$5:$J$27,MATCH(O33,【参考】数式用!$B$4:$J$4,0)+1,0),"")</f>
        <v/>
      </c>
      <c r="Q33" s="152"/>
      <c r="R33" s="562" t="str">
        <f>IFERROR(VLOOKUP(K32,【参考】数式用!$A$5:$J$27,MATCH(Q33,【参考】数式用!$B$4:$J$4,0)+1,0),"")</f>
        <v/>
      </c>
      <c r="S33" s="173" t="s">
        <v>19</v>
      </c>
      <c r="T33" s="563">
        <v>6</v>
      </c>
      <c r="U33" s="174" t="s">
        <v>10</v>
      </c>
      <c r="V33" s="109">
        <v>4</v>
      </c>
      <c r="W33" s="174" t="s">
        <v>45</v>
      </c>
      <c r="X33" s="563">
        <v>6</v>
      </c>
      <c r="Y33" s="174" t="s">
        <v>10</v>
      </c>
      <c r="Z33" s="109">
        <v>5</v>
      </c>
      <c r="AA33" s="174" t="s">
        <v>13</v>
      </c>
      <c r="AB33" s="564" t="s">
        <v>24</v>
      </c>
      <c r="AC33" s="565">
        <f t="shared" si="5"/>
        <v>2</v>
      </c>
      <c r="AD33" s="174" t="s">
        <v>38</v>
      </c>
      <c r="AE33" s="566" t="str">
        <f>IFERROR(ROUNDDOWN(ROUND(L32*R33,0)*M32,0)*AC33,"")</f>
        <v/>
      </c>
      <c r="AF33" s="567" t="str">
        <f>IFERROR(ROUNDDOWN(ROUND(L32*(R33-P33),0)*M32,0)*AC33,"")</f>
        <v/>
      </c>
      <c r="AG33" s="568"/>
      <c r="AH33" s="453"/>
      <c r="AI33" s="454"/>
      <c r="AJ33" s="455"/>
      <c r="AK33" s="456"/>
      <c r="AL33" s="457"/>
      <c r="AM33" s="458"/>
      <c r="AN33" s="569" t="str">
        <f t="shared" ref="AN33" si="28">IF(AP32="","",IF(OR(Z32=4,Z33=4,Z34=4),"！加算の要件上は問題ありませんが、算定期間の終わりが令和６年５月になっていません。区分変更の場合は、「基本情報入力シート」で同じ事業所を２行に分けて記入してください。",""))</f>
        <v/>
      </c>
      <c r="AO33" s="570"/>
      <c r="AP33" s="557" t="str">
        <f>IF(K32&lt;&gt;"","P列・R列に色付け","")</f>
        <v/>
      </c>
      <c r="AY33" s="543" t="str">
        <f>G32</f>
        <v/>
      </c>
    </row>
    <row r="34" spans="1:51" ht="32.1" customHeight="1" thickBot="1">
      <c r="A34" s="1227"/>
      <c r="B34" s="1224"/>
      <c r="C34" s="1224"/>
      <c r="D34" s="1224"/>
      <c r="E34" s="1224"/>
      <c r="F34" s="1224"/>
      <c r="G34" s="1236"/>
      <c r="H34" s="1236"/>
      <c r="I34" s="1236"/>
      <c r="J34" s="1236"/>
      <c r="K34" s="1236"/>
      <c r="L34" s="1239"/>
      <c r="M34" s="1294"/>
      <c r="N34" s="571" t="s">
        <v>140</v>
      </c>
      <c r="O34" s="155"/>
      <c r="P34" s="591" t="str">
        <f>IFERROR(VLOOKUP(K32,【参考】数式用!$A$5:$J$27,MATCH(O34,【参考】数式用!$B$4:$J$4,0)+1,0),"")</f>
        <v/>
      </c>
      <c r="Q34" s="153"/>
      <c r="R34" s="572" t="str">
        <f>IFERROR(VLOOKUP(K32,【参考】数式用!$A$5:$J$27,MATCH(Q34,【参考】数式用!$B$4:$J$4,0)+1,0),"")</f>
        <v/>
      </c>
      <c r="S34" s="573" t="s">
        <v>19</v>
      </c>
      <c r="T34" s="574">
        <v>6</v>
      </c>
      <c r="U34" s="575" t="s">
        <v>10</v>
      </c>
      <c r="V34" s="110">
        <v>4</v>
      </c>
      <c r="W34" s="575" t="s">
        <v>45</v>
      </c>
      <c r="X34" s="574">
        <v>6</v>
      </c>
      <c r="Y34" s="575" t="s">
        <v>10</v>
      </c>
      <c r="Z34" s="110">
        <v>5</v>
      </c>
      <c r="AA34" s="575" t="s">
        <v>13</v>
      </c>
      <c r="AB34" s="576" t="s">
        <v>24</v>
      </c>
      <c r="AC34" s="577">
        <f t="shared" si="5"/>
        <v>2</v>
      </c>
      <c r="AD34" s="575" t="s">
        <v>38</v>
      </c>
      <c r="AE34" s="578" t="str">
        <f>IFERROR(ROUNDDOWN(ROUND(L32*R34,0)*M32,0)*AC34,"")</f>
        <v/>
      </c>
      <c r="AF34" s="579" t="str">
        <f>IFERROR(ROUNDDOWN(ROUND(L32*(R34-P34),0)*M32,0)*AC34,"")</f>
        <v/>
      </c>
      <c r="AG34" s="580">
        <f t="shared" ref="AG34" si="29">IF(AND(O34="ベア加算なし",Q34="ベア加算"),AE34,0)</f>
        <v>0</v>
      </c>
      <c r="AH34" s="459"/>
      <c r="AI34" s="460"/>
      <c r="AJ34" s="461"/>
      <c r="AK34" s="462"/>
      <c r="AL34" s="463"/>
      <c r="AM34" s="464"/>
      <c r="AN34" s="581" t="str">
        <f t="shared" ref="AN34" si="30">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
      </c>
      <c r="AP34" s="582" t="str">
        <f>IF(K32&lt;&gt;"","P列・R列に色付け","")</f>
        <v/>
      </c>
      <c r="AQ34" s="583"/>
      <c r="AR34" s="583"/>
      <c r="AX34" s="584"/>
      <c r="AY34" s="543" t="str">
        <f>G32</f>
        <v/>
      </c>
    </row>
    <row r="35" spans="1:51" ht="32.1" customHeight="1">
      <c r="A35" s="1225">
        <v>8</v>
      </c>
      <c r="B35" s="1222" t="str">
        <f>IF(基本情報入力シート!C61="","",基本情報入力シート!C61)</f>
        <v/>
      </c>
      <c r="C35" s="1222"/>
      <c r="D35" s="1222"/>
      <c r="E35" s="1222"/>
      <c r="F35" s="1222"/>
      <c r="G35" s="1234" t="str">
        <f>IF(基本情報入力シート!M61="","",基本情報入力シート!M61)</f>
        <v/>
      </c>
      <c r="H35" s="1234" t="str">
        <f>IF(基本情報入力シート!R61="","",基本情報入力シート!R61)</f>
        <v/>
      </c>
      <c r="I35" s="1234" t="str">
        <f>IF(基本情報入力シート!W61="","",基本情報入力シート!W61)</f>
        <v/>
      </c>
      <c r="J35" s="1234" t="str">
        <f>IF(基本情報入力シート!X61="","",基本情報入力シート!X61)</f>
        <v/>
      </c>
      <c r="K35" s="1234" t="str">
        <f>IF(基本情報入力シート!Y61="","",基本情報入力シート!Y61)</f>
        <v/>
      </c>
      <c r="L35" s="1237" t="str">
        <f>IF(基本情報入力シート!AB61="","",基本情報入力シート!AB61)</f>
        <v/>
      </c>
      <c r="M35" s="1292" t="str">
        <f>IF(基本情報入力シート!AC61="","",基本情報入力シート!AC61)</f>
        <v/>
      </c>
      <c r="N35" s="547" t="s">
        <v>183</v>
      </c>
      <c r="O35" s="151"/>
      <c r="P35" s="548" t="str">
        <f>IFERROR(VLOOKUP(K35,【参考】数式用!$A$5:$J$27,MATCH(O35,【参考】数式用!$B$4:$J$4,0)+1,0),"")</f>
        <v/>
      </c>
      <c r="Q35" s="151"/>
      <c r="R35" s="548" t="str">
        <f>IFERROR(VLOOKUP(K35,【参考】数式用!$A$5:$J$27,MATCH(Q35,【参考】数式用!$B$4:$J$4,0)+1,0),"")</f>
        <v/>
      </c>
      <c r="S35" s="549" t="s">
        <v>19</v>
      </c>
      <c r="T35" s="550">
        <v>6</v>
      </c>
      <c r="U35" s="202" t="s">
        <v>10</v>
      </c>
      <c r="V35" s="71">
        <v>4</v>
      </c>
      <c r="W35" s="202" t="s">
        <v>45</v>
      </c>
      <c r="X35" s="550">
        <v>6</v>
      </c>
      <c r="Y35" s="202" t="s">
        <v>10</v>
      </c>
      <c r="Z35" s="71">
        <v>5</v>
      </c>
      <c r="AA35" s="202" t="s">
        <v>13</v>
      </c>
      <c r="AB35" s="551" t="s">
        <v>24</v>
      </c>
      <c r="AC35" s="552">
        <f t="shared" ref="AC35:AC46" si="31">IF(V35&gt;=1,(X35*12+Z35)-(T35*12+V35)+1,"")</f>
        <v>2</v>
      </c>
      <c r="AD35" s="202" t="s">
        <v>38</v>
      </c>
      <c r="AE35" s="553" t="str">
        <f>IFERROR(ROUNDDOWN(ROUND(L35*R35,0)*M35,0)*AC35,"")</f>
        <v/>
      </c>
      <c r="AF35" s="554" t="str">
        <f>IFERROR(ROUNDDOWN(ROUND(L35*(R35-P35),0)*M35,0)*AC35,"")</f>
        <v/>
      </c>
      <c r="AG35" s="555"/>
      <c r="AH35" s="465"/>
      <c r="AI35" s="473"/>
      <c r="AJ35" s="470"/>
      <c r="AK35" s="471"/>
      <c r="AL35" s="451"/>
      <c r="AM35" s="452"/>
      <c r="AN35" s="556" t="str">
        <f t="shared" ref="AN35" si="32">IF(AP35="","",IF(R35&lt;P35,"！加算の要件上は問題ありませんが、令和６年３月と比較して４・５月に加算率が下がる計画になっています。",""))</f>
        <v/>
      </c>
      <c r="AP35" s="557" t="str">
        <f>IF(K35&lt;&gt;"","P列・R列に色付け","")</f>
        <v/>
      </c>
      <c r="AQ35" s="558" t="str">
        <f>IFERROR(VLOOKUP(K35,【参考】数式用!$AJ$2:$AK$24,2,FALSE),"")</f>
        <v/>
      </c>
      <c r="AR35" s="560" t="str">
        <f>Q35&amp;Q36&amp;Q37</f>
        <v/>
      </c>
      <c r="AS35" s="558" t="str">
        <f t="shared" ref="AS35" si="33">IF(AG37&lt;&gt;0,IF(AH37="○","入力済","未入力"),"")</f>
        <v/>
      </c>
      <c r="AT35" s="559" t="str">
        <f>IF(OR(Q35="処遇加算Ⅰ",Q35="処遇加算Ⅱ"),IF(OR(AI35="○",AI35="令和６年度中に満たす"),"入力済","未入力"),"")</f>
        <v/>
      </c>
      <c r="AU35" s="560" t="str">
        <f>IF(Q35="処遇加算Ⅲ",IF(AJ35="○","入力済","未入力"),"")</f>
        <v/>
      </c>
      <c r="AV35" s="558" t="str">
        <f>IF(Q35="処遇加算Ⅰ",IF(OR(AK35="○",AK35="令和６年度中に満たす"),"入力済","未入力"),"")</f>
        <v/>
      </c>
      <c r="AW35" s="558"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43" t="str">
        <f>IF(Q36="特定加算Ⅰ",IF(AM36="","未入力","入力済"),"")</f>
        <v/>
      </c>
      <c r="AY35" s="543" t="str">
        <f>G35</f>
        <v/>
      </c>
    </row>
    <row r="36" spans="1:51" ht="32.1" customHeight="1">
      <c r="A36" s="1226"/>
      <c r="B36" s="1223"/>
      <c r="C36" s="1223"/>
      <c r="D36" s="1223"/>
      <c r="E36" s="1223"/>
      <c r="F36" s="1223"/>
      <c r="G36" s="1235"/>
      <c r="H36" s="1235"/>
      <c r="I36" s="1235"/>
      <c r="J36" s="1235"/>
      <c r="K36" s="1235"/>
      <c r="L36" s="1238"/>
      <c r="M36" s="1293"/>
      <c r="N36" s="561" t="s">
        <v>170</v>
      </c>
      <c r="O36" s="152"/>
      <c r="P36" s="562" t="str">
        <f>IFERROR(VLOOKUP(K35,【参考】数式用!$A$5:$J$27,MATCH(O36,【参考】数式用!$B$4:$J$4,0)+1,0),"")</f>
        <v/>
      </c>
      <c r="Q36" s="152"/>
      <c r="R36" s="562" t="str">
        <f>IFERROR(VLOOKUP(K35,【参考】数式用!$A$5:$J$27,MATCH(Q36,【参考】数式用!$B$4:$J$4,0)+1,0),"")</f>
        <v/>
      </c>
      <c r="S36" s="173" t="s">
        <v>19</v>
      </c>
      <c r="T36" s="563">
        <v>6</v>
      </c>
      <c r="U36" s="174" t="s">
        <v>10</v>
      </c>
      <c r="V36" s="109">
        <v>4</v>
      </c>
      <c r="W36" s="174" t="s">
        <v>45</v>
      </c>
      <c r="X36" s="563">
        <v>6</v>
      </c>
      <c r="Y36" s="174" t="s">
        <v>10</v>
      </c>
      <c r="Z36" s="109">
        <v>5</v>
      </c>
      <c r="AA36" s="174" t="s">
        <v>13</v>
      </c>
      <c r="AB36" s="564" t="s">
        <v>24</v>
      </c>
      <c r="AC36" s="565">
        <f t="shared" si="31"/>
        <v>2</v>
      </c>
      <c r="AD36" s="174" t="s">
        <v>38</v>
      </c>
      <c r="AE36" s="566" t="str">
        <f>IFERROR(ROUNDDOWN(ROUND(L35*R36,0)*M35,0)*AC36,"")</f>
        <v/>
      </c>
      <c r="AF36" s="567" t="str">
        <f>IFERROR(ROUNDDOWN(ROUND(L35*(R36-P36),0)*M35,0)*AC36,"")</f>
        <v/>
      </c>
      <c r="AG36" s="568"/>
      <c r="AH36" s="453"/>
      <c r="AI36" s="454"/>
      <c r="AJ36" s="455"/>
      <c r="AK36" s="456"/>
      <c r="AL36" s="457"/>
      <c r="AM36" s="458"/>
      <c r="AN36" s="569" t="str">
        <f t="shared" ref="AN36" si="34">IF(AP35="","",IF(OR(Z35=4,Z36=4,Z37=4),"！加算の要件上は問題ありませんが、算定期間の終わりが令和６年５月になっていません。区分変更の場合は、「基本情報入力シート」で同じ事業所を２行に分けて記入してください。",""))</f>
        <v/>
      </c>
      <c r="AO36" s="570"/>
      <c r="AP36" s="557" t="str">
        <f>IF(K35&lt;&gt;"","P列・R列に色付け","")</f>
        <v/>
      </c>
      <c r="AY36" s="543" t="str">
        <f>G35</f>
        <v/>
      </c>
    </row>
    <row r="37" spans="1:51" ht="32.1" customHeight="1" thickBot="1">
      <c r="A37" s="1227"/>
      <c r="B37" s="1224"/>
      <c r="C37" s="1295"/>
      <c r="D37" s="1224"/>
      <c r="E37" s="1224"/>
      <c r="F37" s="1224"/>
      <c r="G37" s="1236"/>
      <c r="H37" s="1236"/>
      <c r="I37" s="1236"/>
      <c r="J37" s="1236"/>
      <c r="K37" s="1236"/>
      <c r="L37" s="1239"/>
      <c r="M37" s="1294"/>
      <c r="N37" s="571" t="s">
        <v>140</v>
      </c>
      <c r="O37" s="155"/>
      <c r="P37" s="591" t="str">
        <f>IFERROR(VLOOKUP(K35,【参考】数式用!$A$5:$J$27,MATCH(O37,【参考】数式用!$B$4:$J$4,0)+1,0),"")</f>
        <v/>
      </c>
      <c r="Q37" s="153"/>
      <c r="R37" s="572" t="str">
        <f>IFERROR(VLOOKUP(K35,【参考】数式用!$A$5:$J$27,MATCH(Q37,【参考】数式用!$B$4:$J$4,0)+1,0),"")</f>
        <v/>
      </c>
      <c r="S37" s="573" t="s">
        <v>19</v>
      </c>
      <c r="T37" s="574">
        <v>6</v>
      </c>
      <c r="U37" s="575" t="s">
        <v>10</v>
      </c>
      <c r="V37" s="110">
        <v>4</v>
      </c>
      <c r="W37" s="575" t="s">
        <v>45</v>
      </c>
      <c r="X37" s="574">
        <v>6</v>
      </c>
      <c r="Y37" s="575" t="s">
        <v>10</v>
      </c>
      <c r="Z37" s="110">
        <v>5</v>
      </c>
      <c r="AA37" s="575" t="s">
        <v>13</v>
      </c>
      <c r="AB37" s="576" t="s">
        <v>24</v>
      </c>
      <c r="AC37" s="577">
        <f t="shared" si="31"/>
        <v>2</v>
      </c>
      <c r="AD37" s="575" t="s">
        <v>38</v>
      </c>
      <c r="AE37" s="590" t="str">
        <f>IFERROR(ROUNDDOWN(ROUND(L35*R37,0)*M35,0)*AC37,"")</f>
        <v/>
      </c>
      <c r="AF37" s="579" t="str">
        <f>IFERROR(ROUNDDOWN(ROUND(L35*(R37-P37),0)*M35,0)*AC37,"")</f>
        <v/>
      </c>
      <c r="AG37" s="580">
        <f t="shared" ref="AG37" si="35">IF(AND(O37="ベア加算なし",Q37="ベア加算"),AE37,0)</f>
        <v>0</v>
      </c>
      <c r="AH37" s="459"/>
      <c r="AI37" s="460"/>
      <c r="AJ37" s="461"/>
      <c r="AK37" s="462"/>
      <c r="AL37" s="463"/>
      <c r="AM37" s="464"/>
      <c r="AN37" s="581" t="str">
        <f t="shared" ref="AN37" si="36">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82" t="str">
        <f>IF(K35&lt;&gt;"","P列・R列に色付け","")</f>
        <v/>
      </c>
      <c r="AQ37" s="583"/>
      <c r="AR37" s="583"/>
      <c r="AX37" s="584"/>
      <c r="AY37" s="543" t="str">
        <f>G35</f>
        <v/>
      </c>
    </row>
    <row r="38" spans="1:51" ht="32.1" customHeight="1">
      <c r="A38" s="1225">
        <v>9</v>
      </c>
      <c r="B38" s="1222" t="str">
        <f>IF(基本情報入力シート!C62="","",基本情報入力シート!C62)</f>
        <v/>
      </c>
      <c r="C38" s="1222"/>
      <c r="D38" s="1222"/>
      <c r="E38" s="1222"/>
      <c r="F38" s="1222"/>
      <c r="G38" s="1234" t="str">
        <f>IF(基本情報入力シート!M62="","",基本情報入力シート!M62)</f>
        <v/>
      </c>
      <c r="H38" s="1234" t="str">
        <f>IF(基本情報入力シート!R62="","",基本情報入力シート!R62)</f>
        <v/>
      </c>
      <c r="I38" s="1234" t="str">
        <f>IF(基本情報入力シート!W62="","",基本情報入力シート!W62)</f>
        <v/>
      </c>
      <c r="J38" s="1234" t="str">
        <f>IF(基本情報入力シート!X62="","",基本情報入力シート!X62)</f>
        <v/>
      </c>
      <c r="K38" s="1234" t="str">
        <f>IF(基本情報入力シート!Y62="","",基本情報入力シート!Y62)</f>
        <v/>
      </c>
      <c r="L38" s="1237" t="str">
        <f>IF(基本情報入力シート!AB62="","",基本情報入力シート!AB62)</f>
        <v/>
      </c>
      <c r="M38" s="1292" t="str">
        <f>IF(基本情報入力シート!AC62="","",基本情報入力シート!AC62)</f>
        <v/>
      </c>
      <c r="N38" s="547" t="s">
        <v>183</v>
      </c>
      <c r="O38" s="151"/>
      <c r="P38" s="548" t="str">
        <f>IFERROR(VLOOKUP(K38,【参考】数式用!$A$5:$J$27,MATCH(O38,【参考】数式用!$B$4:$J$4,0)+1,0),"")</f>
        <v/>
      </c>
      <c r="Q38" s="151"/>
      <c r="R38" s="548" t="str">
        <f>IFERROR(VLOOKUP(K38,【参考】数式用!$A$5:$J$27,MATCH(Q38,【参考】数式用!$B$4:$J$4,0)+1,0),"")</f>
        <v/>
      </c>
      <c r="S38" s="549" t="s">
        <v>19</v>
      </c>
      <c r="T38" s="550">
        <v>6</v>
      </c>
      <c r="U38" s="202" t="s">
        <v>10</v>
      </c>
      <c r="V38" s="71">
        <v>4</v>
      </c>
      <c r="W38" s="202" t="s">
        <v>45</v>
      </c>
      <c r="X38" s="550">
        <v>6</v>
      </c>
      <c r="Y38" s="202" t="s">
        <v>10</v>
      </c>
      <c r="Z38" s="71">
        <v>5</v>
      </c>
      <c r="AA38" s="202" t="s">
        <v>13</v>
      </c>
      <c r="AB38" s="551" t="s">
        <v>24</v>
      </c>
      <c r="AC38" s="552">
        <f t="shared" si="31"/>
        <v>2</v>
      </c>
      <c r="AD38" s="202" t="s">
        <v>38</v>
      </c>
      <c r="AE38" s="553" t="str">
        <f>IFERROR(ROUNDDOWN(ROUND(L38*R38,0)*M38,0)*AC38,"")</f>
        <v/>
      </c>
      <c r="AF38" s="554" t="str">
        <f>IFERROR(ROUNDDOWN(ROUND(L38*(R38-P38),0)*M38,0)*AC38,"")</f>
        <v/>
      </c>
      <c r="AG38" s="555"/>
      <c r="AH38" s="465"/>
      <c r="AI38" s="473"/>
      <c r="AJ38" s="470"/>
      <c r="AK38" s="471"/>
      <c r="AL38" s="451"/>
      <c r="AM38" s="452"/>
      <c r="AN38" s="556" t="str">
        <f t="shared" ref="AN38" si="37">IF(AP38="","",IF(R38&lt;P38,"！加算の要件上は問題ありませんが、令和６年３月と比較して４・５月に加算率が下がる計画になっています。",""))</f>
        <v/>
      </c>
      <c r="AP38" s="557" t="str">
        <f>IF(K38&lt;&gt;"","P列・R列に色付け","")</f>
        <v/>
      </c>
      <c r="AQ38" s="558" t="str">
        <f>IFERROR(VLOOKUP(K38,【参考】数式用!$AJ$2:$AK$24,2,FALSE),"")</f>
        <v/>
      </c>
      <c r="AR38" s="560" t="str">
        <f>Q38&amp;Q39&amp;Q40</f>
        <v/>
      </c>
      <c r="AS38" s="558" t="str">
        <f t="shared" ref="AS38" si="38">IF(AG40&lt;&gt;0,IF(AH40="○","入力済","未入力"),"")</f>
        <v/>
      </c>
      <c r="AT38" s="559" t="str">
        <f>IF(OR(Q38="処遇加算Ⅰ",Q38="処遇加算Ⅱ"),IF(OR(AI38="○",AI38="令和６年度中に満たす"),"入力済","未入力"),"")</f>
        <v/>
      </c>
      <c r="AU38" s="560" t="str">
        <f>IF(Q38="処遇加算Ⅲ",IF(AJ38="○","入力済","未入力"),"")</f>
        <v/>
      </c>
      <c r="AV38" s="558" t="str">
        <f>IF(Q38="処遇加算Ⅰ",IF(OR(AK38="○",AK38="令和６年度中に満たす"),"入力済","未入力"),"")</f>
        <v/>
      </c>
      <c r="AW38" s="558"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43" t="str">
        <f>IF(Q39="特定加算Ⅰ",IF(AM39="","未入力","入力済"),"")</f>
        <v/>
      </c>
      <c r="AY38" s="543" t="str">
        <f>G38</f>
        <v/>
      </c>
    </row>
    <row r="39" spans="1:51" ht="32.1" customHeight="1">
      <c r="A39" s="1226"/>
      <c r="B39" s="1223"/>
      <c r="C39" s="1223"/>
      <c r="D39" s="1223"/>
      <c r="E39" s="1223"/>
      <c r="F39" s="1223"/>
      <c r="G39" s="1235"/>
      <c r="H39" s="1235"/>
      <c r="I39" s="1235"/>
      <c r="J39" s="1235"/>
      <c r="K39" s="1235"/>
      <c r="L39" s="1238"/>
      <c r="M39" s="1293"/>
      <c r="N39" s="561" t="s">
        <v>170</v>
      </c>
      <c r="O39" s="152"/>
      <c r="P39" s="562" t="str">
        <f>IFERROR(VLOOKUP(K38,【参考】数式用!$A$5:$J$27,MATCH(O39,【参考】数式用!$B$4:$J$4,0)+1,0),"")</f>
        <v/>
      </c>
      <c r="Q39" s="152"/>
      <c r="R39" s="562" t="str">
        <f>IFERROR(VLOOKUP(K38,【参考】数式用!$A$5:$J$27,MATCH(Q39,【参考】数式用!$B$4:$J$4,0)+1,0),"")</f>
        <v/>
      </c>
      <c r="S39" s="173" t="s">
        <v>19</v>
      </c>
      <c r="T39" s="563">
        <v>6</v>
      </c>
      <c r="U39" s="174" t="s">
        <v>10</v>
      </c>
      <c r="V39" s="109">
        <v>4</v>
      </c>
      <c r="W39" s="174" t="s">
        <v>45</v>
      </c>
      <c r="X39" s="563">
        <v>6</v>
      </c>
      <c r="Y39" s="174" t="s">
        <v>10</v>
      </c>
      <c r="Z39" s="109">
        <v>5</v>
      </c>
      <c r="AA39" s="174" t="s">
        <v>13</v>
      </c>
      <c r="AB39" s="564" t="s">
        <v>24</v>
      </c>
      <c r="AC39" s="565">
        <f t="shared" si="31"/>
        <v>2</v>
      </c>
      <c r="AD39" s="174" t="s">
        <v>38</v>
      </c>
      <c r="AE39" s="566" t="str">
        <f>IFERROR(ROUNDDOWN(ROUND(L38*R39,0)*M38,0)*AC39,"")</f>
        <v/>
      </c>
      <c r="AF39" s="567" t="str">
        <f>IFERROR(ROUNDDOWN(ROUND(L38*(R39-P39),0)*M38,0)*AC39,"")</f>
        <v/>
      </c>
      <c r="AG39" s="568"/>
      <c r="AH39" s="453"/>
      <c r="AI39" s="454"/>
      <c r="AJ39" s="455"/>
      <c r="AK39" s="456"/>
      <c r="AL39" s="457"/>
      <c r="AM39" s="458"/>
      <c r="AN39" s="569" t="str">
        <f t="shared" ref="AN39" si="39">IF(AP38="","",IF(OR(Z38=4,Z39=4,Z40=4),"！加算の要件上は問題ありませんが、算定期間の終わりが令和６年５月になっていません。区分変更の場合は、「基本情報入力シート」で同じ事業所を２行に分けて記入してください。",""))</f>
        <v/>
      </c>
      <c r="AO39" s="570"/>
      <c r="AP39" s="557" t="str">
        <f>IF(K38&lt;&gt;"","P列・R列に色付け","")</f>
        <v/>
      </c>
      <c r="AY39" s="543" t="str">
        <f>G38</f>
        <v/>
      </c>
    </row>
    <row r="40" spans="1:51" ht="32.1" customHeight="1" thickBot="1">
      <c r="A40" s="1240"/>
      <c r="B40" s="1243"/>
      <c r="C40" s="1243"/>
      <c r="D40" s="1243"/>
      <c r="E40" s="1243"/>
      <c r="F40" s="1243"/>
      <c r="G40" s="1245"/>
      <c r="H40" s="1245"/>
      <c r="I40" s="1245"/>
      <c r="J40" s="1245"/>
      <c r="K40" s="1245"/>
      <c r="L40" s="1298"/>
      <c r="M40" s="1299"/>
      <c r="N40" s="585" t="s">
        <v>140</v>
      </c>
      <c r="O40" s="155"/>
      <c r="P40" s="591" t="str">
        <f>IFERROR(VLOOKUP(K38,【参考】数式用!$A$5:$J$27,MATCH(O40,【参考】数式用!$B$4:$J$4,0)+1,0),"")</f>
        <v/>
      </c>
      <c r="Q40" s="155"/>
      <c r="R40" s="591" t="str">
        <f>IFERROR(VLOOKUP(K38,【参考】数式用!$A$5:$J$27,MATCH(Q40,【参考】数式用!$B$4:$J$4,0)+1,0),"")</f>
        <v/>
      </c>
      <c r="S40" s="592" t="s">
        <v>19</v>
      </c>
      <c r="T40" s="593">
        <v>6</v>
      </c>
      <c r="U40" s="211" t="s">
        <v>10</v>
      </c>
      <c r="V40" s="123">
        <v>4</v>
      </c>
      <c r="W40" s="211" t="s">
        <v>45</v>
      </c>
      <c r="X40" s="593">
        <v>6</v>
      </c>
      <c r="Y40" s="211" t="s">
        <v>10</v>
      </c>
      <c r="Z40" s="123">
        <v>5</v>
      </c>
      <c r="AA40" s="211" t="s">
        <v>13</v>
      </c>
      <c r="AB40" s="594" t="s">
        <v>24</v>
      </c>
      <c r="AC40" s="595">
        <f t="shared" si="31"/>
        <v>2</v>
      </c>
      <c r="AD40" s="211" t="s">
        <v>38</v>
      </c>
      <c r="AE40" s="596" t="str">
        <f>IFERROR(ROUNDDOWN(ROUND(L38*R40,0)*M38,0)*AC40,"")</f>
        <v/>
      </c>
      <c r="AF40" s="597" t="str">
        <f>IFERROR(ROUNDDOWN(ROUND(L38*(R40-P40),0)*M38,0)*AC40,"")</f>
        <v/>
      </c>
      <c r="AG40" s="580">
        <f t="shared" ref="AG40" si="40">IF(AND(O40="ベア加算なし",Q40="ベア加算"),AE40,0)</f>
        <v>0</v>
      </c>
      <c r="AH40" s="475"/>
      <c r="AI40" s="476"/>
      <c r="AJ40" s="477"/>
      <c r="AK40" s="478"/>
      <c r="AL40" s="479"/>
      <c r="AM40" s="480"/>
      <c r="AN40" s="581" t="str">
        <f t="shared" ref="AN40" si="41">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82" t="str">
        <f>IF(K38&lt;&gt;"","P列・R列に色付け","")</f>
        <v/>
      </c>
      <c r="AQ40" s="583"/>
      <c r="AR40" s="583"/>
      <c r="AX40" s="584"/>
      <c r="AY40" s="543" t="str">
        <f>G38</f>
        <v/>
      </c>
    </row>
    <row r="41" spans="1:51" ht="32.1" customHeight="1">
      <c r="A41" s="1225">
        <v>10</v>
      </c>
      <c r="B41" s="1222" t="str">
        <f>IF(基本情報入力シート!C63="","",基本情報入力シート!C63)</f>
        <v/>
      </c>
      <c r="C41" s="1222"/>
      <c r="D41" s="1222"/>
      <c r="E41" s="1222"/>
      <c r="F41" s="1222"/>
      <c r="G41" s="1234" t="str">
        <f>IF(基本情報入力シート!M63="","",基本情報入力シート!M63)</f>
        <v/>
      </c>
      <c r="H41" s="1234" t="str">
        <f>IF(基本情報入力シート!R63="","",基本情報入力シート!R63)</f>
        <v/>
      </c>
      <c r="I41" s="1234" t="str">
        <f>IF(基本情報入力シート!W63="","",基本情報入力シート!W63)</f>
        <v/>
      </c>
      <c r="J41" s="1234" t="str">
        <f>IF(基本情報入力シート!X63="","",基本情報入力シート!X63)</f>
        <v/>
      </c>
      <c r="K41" s="1234" t="str">
        <f>IF(基本情報入力シート!Y63="","",基本情報入力シート!Y63)</f>
        <v/>
      </c>
      <c r="L41" s="1237" t="str">
        <f>IF(基本情報入力シート!AB63="","",基本情報入力シート!AB63)</f>
        <v/>
      </c>
      <c r="M41" s="1292" t="str">
        <f>IF(基本情報入力シート!AC63="","",基本情報入力シート!AC63)</f>
        <v/>
      </c>
      <c r="N41" s="547" t="s">
        <v>183</v>
      </c>
      <c r="O41" s="151"/>
      <c r="P41" s="548" t="str">
        <f>IFERROR(VLOOKUP(K41,【参考】数式用!$A$5:$J$27,MATCH(O41,【参考】数式用!$B$4:$J$4,0)+1,0),"")</f>
        <v/>
      </c>
      <c r="Q41" s="151"/>
      <c r="R41" s="548" t="str">
        <f>IFERROR(VLOOKUP(K41,【参考】数式用!$A$5:$J$27,MATCH(Q41,【参考】数式用!$B$4:$J$4,0)+1,0),"")</f>
        <v/>
      </c>
      <c r="S41" s="549" t="s">
        <v>19</v>
      </c>
      <c r="T41" s="550">
        <v>6</v>
      </c>
      <c r="U41" s="202" t="s">
        <v>10</v>
      </c>
      <c r="V41" s="71">
        <v>4</v>
      </c>
      <c r="W41" s="202" t="s">
        <v>45</v>
      </c>
      <c r="X41" s="550">
        <v>6</v>
      </c>
      <c r="Y41" s="202" t="s">
        <v>10</v>
      </c>
      <c r="Z41" s="71">
        <v>5</v>
      </c>
      <c r="AA41" s="202" t="s">
        <v>13</v>
      </c>
      <c r="AB41" s="551" t="s">
        <v>24</v>
      </c>
      <c r="AC41" s="552">
        <f t="shared" si="31"/>
        <v>2</v>
      </c>
      <c r="AD41" s="202" t="s">
        <v>38</v>
      </c>
      <c r="AE41" s="553" t="str">
        <f>IFERROR(ROUNDDOWN(ROUND(L41*R41,0)*M41,0)*AC41,"")</f>
        <v/>
      </c>
      <c r="AF41" s="554" t="str">
        <f>IFERROR(ROUNDDOWN(ROUND(L41*(R41-P41),0)*M41,0)*AC41,"")</f>
        <v/>
      </c>
      <c r="AG41" s="555"/>
      <c r="AH41" s="465"/>
      <c r="AI41" s="473"/>
      <c r="AJ41" s="470"/>
      <c r="AK41" s="471"/>
      <c r="AL41" s="451"/>
      <c r="AM41" s="452"/>
      <c r="AN41" s="556" t="str">
        <f t="shared" ref="AN41" si="42">IF(AP41="","",IF(R41&lt;P41,"！加算の要件上は問題ありませんが、令和６年３月と比較して４・５月に加算率が下がる計画になっています。",""))</f>
        <v/>
      </c>
      <c r="AP41" s="557" t="str">
        <f>IF(K41&lt;&gt;"","P列・R列に色付け","")</f>
        <v/>
      </c>
      <c r="AQ41" s="558" t="str">
        <f>IFERROR(VLOOKUP(K41,【参考】数式用!$AJ$2:$AK$24,2,FALSE),"")</f>
        <v/>
      </c>
      <c r="AR41" s="560" t="str">
        <f>Q41&amp;Q42&amp;Q43</f>
        <v/>
      </c>
      <c r="AS41" s="558" t="str">
        <f t="shared" ref="AS41" si="43">IF(AG43&lt;&gt;0,IF(AH43="○","入力済","未入力"),"")</f>
        <v/>
      </c>
      <c r="AT41" s="559" t="str">
        <f>IF(OR(Q41="処遇加算Ⅰ",Q41="処遇加算Ⅱ"),IF(OR(AI41="○",AI41="令和６年度中に満たす"),"入力済","未入力"),"")</f>
        <v/>
      </c>
      <c r="AU41" s="560" t="str">
        <f>IF(Q41="処遇加算Ⅲ",IF(AJ41="○","入力済","未入力"),"")</f>
        <v/>
      </c>
      <c r="AV41" s="558" t="str">
        <f>IF(Q41="処遇加算Ⅰ",IF(OR(AK41="○",AK41="令和６年度中に満たす"),"入力済","未入力"),"")</f>
        <v/>
      </c>
      <c r="AW41" s="558"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43" t="str">
        <f>IF(Q42="特定加算Ⅰ",IF(AM42="","未入力","入力済"),"")</f>
        <v/>
      </c>
      <c r="AY41" s="543" t="str">
        <f>G41</f>
        <v/>
      </c>
    </row>
    <row r="42" spans="1:51" ht="32.1" customHeight="1">
      <c r="A42" s="1226"/>
      <c r="B42" s="1223"/>
      <c r="C42" s="1223"/>
      <c r="D42" s="1223"/>
      <c r="E42" s="1223"/>
      <c r="F42" s="1223"/>
      <c r="G42" s="1235"/>
      <c r="H42" s="1235"/>
      <c r="I42" s="1235"/>
      <c r="J42" s="1235"/>
      <c r="K42" s="1235"/>
      <c r="L42" s="1238"/>
      <c r="M42" s="1293"/>
      <c r="N42" s="561" t="s">
        <v>170</v>
      </c>
      <c r="O42" s="152"/>
      <c r="P42" s="562" t="str">
        <f>IFERROR(VLOOKUP(K41,【参考】数式用!$A$5:$J$27,MATCH(O42,【参考】数式用!$B$4:$J$4,0)+1,0),"")</f>
        <v/>
      </c>
      <c r="Q42" s="152"/>
      <c r="R42" s="562" t="str">
        <f>IFERROR(VLOOKUP(K41,【参考】数式用!$A$5:$J$27,MATCH(Q42,【参考】数式用!$B$4:$J$4,0)+1,0),"")</f>
        <v/>
      </c>
      <c r="S42" s="173" t="s">
        <v>19</v>
      </c>
      <c r="T42" s="563">
        <v>6</v>
      </c>
      <c r="U42" s="174" t="s">
        <v>10</v>
      </c>
      <c r="V42" s="109">
        <v>4</v>
      </c>
      <c r="W42" s="174" t="s">
        <v>45</v>
      </c>
      <c r="X42" s="563">
        <v>6</v>
      </c>
      <c r="Y42" s="174" t="s">
        <v>10</v>
      </c>
      <c r="Z42" s="109">
        <v>5</v>
      </c>
      <c r="AA42" s="174" t="s">
        <v>13</v>
      </c>
      <c r="AB42" s="564" t="s">
        <v>24</v>
      </c>
      <c r="AC42" s="565">
        <f t="shared" si="31"/>
        <v>2</v>
      </c>
      <c r="AD42" s="174" t="s">
        <v>38</v>
      </c>
      <c r="AE42" s="566" t="str">
        <f>IFERROR(ROUNDDOWN(ROUND(L41*R42,0)*M41,0)*AC42,"")</f>
        <v/>
      </c>
      <c r="AF42" s="567" t="str">
        <f>IFERROR(ROUNDDOWN(ROUND(L41*(R42-P42),0)*M41,0)*AC42,"")</f>
        <v/>
      </c>
      <c r="AG42" s="568"/>
      <c r="AH42" s="453"/>
      <c r="AI42" s="454"/>
      <c r="AJ42" s="455"/>
      <c r="AK42" s="456"/>
      <c r="AL42" s="457"/>
      <c r="AM42" s="458"/>
      <c r="AN42" s="569" t="str">
        <f t="shared" ref="AN42" si="44">IF(AP41="","",IF(OR(Z41=4,Z42=4,Z43=4),"！加算の要件上は問題ありませんが、算定期間の終わりが令和６年５月になっていません。区分変更の場合は、「基本情報入力シート」で同じ事業所を２行に分けて記入してください。",""))</f>
        <v/>
      </c>
      <c r="AO42" s="570"/>
      <c r="AP42" s="557" t="str">
        <f>IF(K41&lt;&gt;"","P列・R列に色付け","")</f>
        <v/>
      </c>
      <c r="AY42" s="543" t="str">
        <f>G41</f>
        <v/>
      </c>
    </row>
    <row r="43" spans="1:51" ht="32.1" customHeight="1" thickBot="1">
      <c r="A43" s="1227"/>
      <c r="B43" s="1224"/>
      <c r="C43" s="1224"/>
      <c r="D43" s="1224"/>
      <c r="E43" s="1224"/>
      <c r="F43" s="1224"/>
      <c r="G43" s="1236"/>
      <c r="H43" s="1236"/>
      <c r="I43" s="1236"/>
      <c r="J43" s="1236"/>
      <c r="K43" s="1236"/>
      <c r="L43" s="1239"/>
      <c r="M43" s="1294"/>
      <c r="N43" s="571" t="s">
        <v>140</v>
      </c>
      <c r="O43" s="153"/>
      <c r="P43" s="572" t="str">
        <f>IFERROR(VLOOKUP(K41,【参考】数式用!$A$5:$J$27,MATCH(O43,【参考】数式用!$B$4:$J$4,0)+1,0),"")</f>
        <v/>
      </c>
      <c r="Q43" s="153"/>
      <c r="R43" s="572" t="str">
        <f>IFERROR(VLOOKUP(K41,【参考】数式用!$A$5:$J$27,MATCH(Q43,【参考】数式用!$B$4:$J$4,0)+1,0),"")</f>
        <v/>
      </c>
      <c r="S43" s="573" t="s">
        <v>19</v>
      </c>
      <c r="T43" s="574">
        <v>6</v>
      </c>
      <c r="U43" s="575" t="s">
        <v>10</v>
      </c>
      <c r="V43" s="110">
        <v>4</v>
      </c>
      <c r="W43" s="575" t="s">
        <v>45</v>
      </c>
      <c r="X43" s="574">
        <v>6</v>
      </c>
      <c r="Y43" s="575" t="s">
        <v>10</v>
      </c>
      <c r="Z43" s="110">
        <v>5</v>
      </c>
      <c r="AA43" s="575" t="s">
        <v>13</v>
      </c>
      <c r="AB43" s="576" t="s">
        <v>24</v>
      </c>
      <c r="AC43" s="577">
        <f t="shared" si="31"/>
        <v>2</v>
      </c>
      <c r="AD43" s="575" t="s">
        <v>38</v>
      </c>
      <c r="AE43" s="578" t="str">
        <f>IFERROR(ROUNDDOWN(ROUND(L41*R43,0)*M41,0)*AC43,"")</f>
        <v/>
      </c>
      <c r="AF43" s="579" t="str">
        <f>IFERROR(ROUNDDOWN(ROUND(L41*(R43-P43),0)*M41,0)*AC43,"")</f>
        <v/>
      </c>
      <c r="AG43" s="580">
        <f t="shared" ref="AG43" si="45">IF(AND(O43="ベア加算なし",Q43="ベア加算"),AE43,0)</f>
        <v>0</v>
      </c>
      <c r="AH43" s="459"/>
      <c r="AI43" s="460"/>
      <c r="AJ43" s="461"/>
      <c r="AK43" s="462"/>
      <c r="AL43" s="463"/>
      <c r="AM43" s="464"/>
      <c r="AN43" s="581" t="str">
        <f t="shared" ref="AN43" si="46">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82" t="str">
        <f>IF(K41&lt;&gt;"","P列・R列に色付け","")</f>
        <v/>
      </c>
      <c r="AQ43" s="583"/>
      <c r="AR43" s="583"/>
      <c r="AX43" s="584"/>
      <c r="AY43" s="543" t="str">
        <f>G41</f>
        <v/>
      </c>
    </row>
    <row r="44" spans="1:51" ht="32.1" customHeight="1">
      <c r="A44" s="1241">
        <v>11</v>
      </c>
      <c r="B44" s="1242" t="str">
        <f>IF(基本情報入力シート!C64="","",基本情報入力シート!C64)</f>
        <v/>
      </c>
      <c r="C44" s="1242"/>
      <c r="D44" s="1242"/>
      <c r="E44" s="1242"/>
      <c r="F44" s="1242"/>
      <c r="G44" s="1244" t="str">
        <f>IF(基本情報入力シート!M64="","",基本情報入力シート!M64)</f>
        <v/>
      </c>
      <c r="H44" s="1244" t="str">
        <f>IF(基本情報入力シート!R64="","",基本情報入力シート!R64)</f>
        <v/>
      </c>
      <c r="I44" s="1244" t="str">
        <f>IF(基本情報入力シート!W64="","",基本情報入力シート!W64)</f>
        <v/>
      </c>
      <c r="J44" s="1244" t="str">
        <f>IF(基本情報入力シート!X64="","",基本情報入力シート!X64)</f>
        <v/>
      </c>
      <c r="K44" s="1244" t="str">
        <f>IF(基本情報入力シート!Y64="","",基本情報入力シート!Y64)</f>
        <v/>
      </c>
      <c r="L44" s="1296" t="str">
        <f>IF(基本情報入力シート!AB64="","",基本情報入力シート!AB64)</f>
        <v/>
      </c>
      <c r="M44" s="1297" t="str">
        <f>IF(基本情報入力シート!AC64="","",基本情報入力シート!AC64)</f>
        <v/>
      </c>
      <c r="N44" s="585" t="s">
        <v>183</v>
      </c>
      <c r="O44" s="154"/>
      <c r="P44" s="562" t="str">
        <f>IFERROR(VLOOKUP(K44,【参考】数式用!$A$5:$J$27,MATCH(O44,【参考】数式用!$B$4:$J$4,0)+1,0),"")</f>
        <v/>
      </c>
      <c r="Q44" s="154"/>
      <c r="R44" s="562" t="str">
        <f>IFERROR(VLOOKUP(K44,【参考】数式用!$A$5:$J$27,MATCH(Q44,【参考】数式用!$B$4:$J$4,0)+1,0),"")</f>
        <v/>
      </c>
      <c r="S44" s="586" t="s">
        <v>19</v>
      </c>
      <c r="T44" s="587">
        <v>6</v>
      </c>
      <c r="U44" s="208" t="s">
        <v>10</v>
      </c>
      <c r="V44" s="122">
        <v>4</v>
      </c>
      <c r="W44" s="208" t="s">
        <v>45</v>
      </c>
      <c r="X44" s="587">
        <v>6</v>
      </c>
      <c r="Y44" s="208" t="s">
        <v>10</v>
      </c>
      <c r="Z44" s="122">
        <v>5</v>
      </c>
      <c r="AA44" s="208" t="s">
        <v>13</v>
      </c>
      <c r="AB44" s="588" t="s">
        <v>24</v>
      </c>
      <c r="AC44" s="589">
        <f t="shared" si="31"/>
        <v>2</v>
      </c>
      <c r="AD44" s="208" t="s">
        <v>38</v>
      </c>
      <c r="AE44" s="566" t="str">
        <f>IFERROR(ROUNDDOWN(ROUND(L44*R44,0)*M44,0)*AC44,"")</f>
        <v/>
      </c>
      <c r="AF44" s="567" t="str">
        <f>IFERROR(ROUNDDOWN(ROUND(L44*(R44-P44),0)*M44,0)*AC44,"")</f>
        <v/>
      </c>
      <c r="AG44" s="555"/>
      <c r="AH44" s="481"/>
      <c r="AI44" s="482"/>
      <c r="AJ44" s="467"/>
      <c r="AK44" s="483"/>
      <c r="AL44" s="484"/>
      <c r="AM44" s="469"/>
      <c r="AN44" s="556" t="str">
        <f t="shared" ref="AN44" si="47">IF(AP44="","",IF(R44&lt;P44,"！加算の要件上は問題ありませんが、令和６年３月と比較して４・５月に加算率が下がる計画になっています。",""))</f>
        <v/>
      </c>
      <c r="AP44" s="557" t="str">
        <f>IF(K44&lt;&gt;"","P列・R列に色付け","")</f>
        <v/>
      </c>
      <c r="AQ44" s="558" t="str">
        <f>IFERROR(VLOOKUP(K44,【参考】数式用!$AJ$2:$AK$24,2,FALSE),"")</f>
        <v/>
      </c>
      <c r="AR44" s="560" t="str">
        <f>Q44&amp;Q45&amp;Q46</f>
        <v/>
      </c>
      <c r="AS44" s="558" t="str">
        <f t="shared" ref="AS44" si="48">IF(AG46&lt;&gt;0,IF(AH46="○","入力済","未入力"),"")</f>
        <v/>
      </c>
      <c r="AT44" s="559" t="str">
        <f>IF(OR(Q44="処遇加算Ⅰ",Q44="処遇加算Ⅱ"),IF(OR(AI44="○",AI44="令和６年度中に満たす"),"入力済","未入力"),"")</f>
        <v/>
      </c>
      <c r="AU44" s="560" t="str">
        <f>IF(Q44="処遇加算Ⅲ",IF(AJ44="○","入力済","未入力"),"")</f>
        <v/>
      </c>
      <c r="AV44" s="558" t="str">
        <f>IF(Q44="処遇加算Ⅰ",IF(OR(AK44="○",AK44="令和６年度中に満たす"),"入力済","未入力"),"")</f>
        <v/>
      </c>
      <c r="AW44" s="558"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43" t="str">
        <f>IF(Q45="特定加算Ⅰ",IF(AM45="","未入力","入力済"),"")</f>
        <v/>
      </c>
      <c r="AY44" s="543" t="str">
        <f>G44</f>
        <v/>
      </c>
    </row>
    <row r="45" spans="1:51" ht="32.1" customHeight="1">
      <c r="A45" s="1226"/>
      <c r="B45" s="1223"/>
      <c r="C45" s="1223"/>
      <c r="D45" s="1223"/>
      <c r="E45" s="1223"/>
      <c r="F45" s="1223"/>
      <c r="G45" s="1235"/>
      <c r="H45" s="1235"/>
      <c r="I45" s="1235"/>
      <c r="J45" s="1235"/>
      <c r="K45" s="1235"/>
      <c r="L45" s="1238"/>
      <c r="M45" s="1293"/>
      <c r="N45" s="561" t="s">
        <v>170</v>
      </c>
      <c r="O45" s="152"/>
      <c r="P45" s="562" t="str">
        <f>IFERROR(VLOOKUP(K44,【参考】数式用!$A$5:$J$27,MATCH(O45,【参考】数式用!$B$4:$J$4,0)+1,0),"")</f>
        <v/>
      </c>
      <c r="Q45" s="152"/>
      <c r="R45" s="562" t="str">
        <f>IFERROR(VLOOKUP(K44,【参考】数式用!$A$5:$J$27,MATCH(Q45,【参考】数式用!$B$4:$J$4,0)+1,0),"")</f>
        <v/>
      </c>
      <c r="S45" s="173" t="s">
        <v>19</v>
      </c>
      <c r="T45" s="563">
        <v>6</v>
      </c>
      <c r="U45" s="174" t="s">
        <v>10</v>
      </c>
      <c r="V45" s="109">
        <v>4</v>
      </c>
      <c r="W45" s="174" t="s">
        <v>45</v>
      </c>
      <c r="X45" s="563">
        <v>6</v>
      </c>
      <c r="Y45" s="174" t="s">
        <v>10</v>
      </c>
      <c r="Z45" s="109">
        <v>5</v>
      </c>
      <c r="AA45" s="174" t="s">
        <v>13</v>
      </c>
      <c r="AB45" s="564" t="s">
        <v>24</v>
      </c>
      <c r="AC45" s="565">
        <f t="shared" si="31"/>
        <v>2</v>
      </c>
      <c r="AD45" s="174" t="s">
        <v>38</v>
      </c>
      <c r="AE45" s="566" t="str">
        <f>IFERROR(ROUNDDOWN(ROUND(L44*R45,0)*M44,0)*AC45,"")</f>
        <v/>
      </c>
      <c r="AF45" s="567" t="str">
        <f>IFERROR(ROUNDDOWN(ROUND(L44*(R45-P45),0)*M44,0)*AC45,"")</f>
        <v/>
      </c>
      <c r="AG45" s="568"/>
      <c r="AH45" s="453"/>
      <c r="AI45" s="454"/>
      <c r="AJ45" s="455"/>
      <c r="AK45" s="456"/>
      <c r="AL45" s="457"/>
      <c r="AM45" s="458"/>
      <c r="AN45" s="569" t="str">
        <f t="shared" ref="AN45" si="49">IF(AP44="","",IF(OR(Z44=4,Z45=4,Z46=4),"！加算の要件上は問題ありませんが、算定期間の終わりが令和６年５月になっていません。区分変更の場合は、「基本情報入力シート」で同じ事業所を２行に分けて記入してください。",""))</f>
        <v/>
      </c>
      <c r="AO45" s="570"/>
      <c r="AP45" s="557" t="str">
        <f>IF(K44&lt;&gt;"","P列・R列に色付け","")</f>
        <v/>
      </c>
      <c r="AY45" s="543" t="str">
        <f>G44</f>
        <v/>
      </c>
    </row>
    <row r="46" spans="1:51" ht="32.1" customHeight="1" thickBot="1">
      <c r="A46" s="1227"/>
      <c r="B46" s="1224"/>
      <c r="C46" s="1224"/>
      <c r="D46" s="1224"/>
      <c r="E46" s="1224"/>
      <c r="F46" s="1224"/>
      <c r="G46" s="1236"/>
      <c r="H46" s="1236"/>
      <c r="I46" s="1236"/>
      <c r="J46" s="1236"/>
      <c r="K46" s="1236"/>
      <c r="L46" s="1239"/>
      <c r="M46" s="1294"/>
      <c r="N46" s="571" t="s">
        <v>140</v>
      </c>
      <c r="O46" s="155"/>
      <c r="P46" s="591" t="str">
        <f>IFERROR(VLOOKUP(K44,【参考】数式用!$A$5:$J$27,MATCH(O46,【参考】数式用!$B$4:$J$4,0)+1,0),"")</f>
        <v/>
      </c>
      <c r="Q46" s="153"/>
      <c r="R46" s="572" t="str">
        <f>IFERROR(VLOOKUP(K44,【参考】数式用!$A$5:$J$27,MATCH(Q46,【参考】数式用!$B$4:$J$4,0)+1,0),"")</f>
        <v/>
      </c>
      <c r="S46" s="573" t="s">
        <v>19</v>
      </c>
      <c r="T46" s="574">
        <v>6</v>
      </c>
      <c r="U46" s="575" t="s">
        <v>10</v>
      </c>
      <c r="V46" s="110">
        <v>4</v>
      </c>
      <c r="W46" s="575" t="s">
        <v>45</v>
      </c>
      <c r="X46" s="574">
        <v>6</v>
      </c>
      <c r="Y46" s="575" t="s">
        <v>10</v>
      </c>
      <c r="Z46" s="110">
        <v>5</v>
      </c>
      <c r="AA46" s="575" t="s">
        <v>13</v>
      </c>
      <c r="AB46" s="576" t="s">
        <v>24</v>
      </c>
      <c r="AC46" s="577">
        <f t="shared" si="31"/>
        <v>2</v>
      </c>
      <c r="AD46" s="575" t="s">
        <v>38</v>
      </c>
      <c r="AE46" s="590" t="str">
        <f>IFERROR(ROUNDDOWN(ROUND(L44*R46,0)*M44,0)*AC46,"")</f>
        <v/>
      </c>
      <c r="AF46" s="579" t="str">
        <f>IFERROR(ROUNDDOWN(ROUND(L44*(R46-P46),0)*M44,0)*AC46,"")</f>
        <v/>
      </c>
      <c r="AG46" s="580">
        <f t="shared" ref="AG46" si="50">IF(AND(O46="ベア加算なし",Q46="ベア加算"),AE46,0)</f>
        <v>0</v>
      </c>
      <c r="AH46" s="459"/>
      <c r="AI46" s="460"/>
      <c r="AJ46" s="461"/>
      <c r="AK46" s="462"/>
      <c r="AL46" s="463"/>
      <c r="AM46" s="464"/>
      <c r="AN46" s="581" t="str">
        <f t="shared" ref="AN46" si="5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82" t="str">
        <f>IF(K44&lt;&gt;"","P列・R列に色付け","")</f>
        <v/>
      </c>
      <c r="AQ46" s="583"/>
      <c r="AR46" s="583"/>
      <c r="AX46" s="584"/>
      <c r="AY46" s="543" t="str">
        <f>G44</f>
        <v/>
      </c>
    </row>
    <row r="47" spans="1:51" ht="32.1" customHeight="1">
      <c r="A47" s="1225">
        <v>12</v>
      </c>
      <c r="B47" s="1222" t="str">
        <f>IF(基本情報入力シート!C65="","",基本情報入力シート!C65)</f>
        <v/>
      </c>
      <c r="C47" s="1222"/>
      <c r="D47" s="1222"/>
      <c r="E47" s="1222"/>
      <c r="F47" s="1222"/>
      <c r="G47" s="1234" t="str">
        <f>IF(基本情報入力シート!M65="","",基本情報入力シート!M65)</f>
        <v/>
      </c>
      <c r="H47" s="1234" t="str">
        <f>IF(基本情報入力シート!R65="","",基本情報入力シート!R65)</f>
        <v/>
      </c>
      <c r="I47" s="1234" t="str">
        <f>IF(基本情報入力シート!W65="","",基本情報入力シート!W65)</f>
        <v/>
      </c>
      <c r="J47" s="1234" t="str">
        <f>IF(基本情報入力シート!X65="","",基本情報入力シート!X65)</f>
        <v/>
      </c>
      <c r="K47" s="1234" t="str">
        <f>IF(基本情報入力シート!Y65="","",基本情報入力シート!Y65)</f>
        <v/>
      </c>
      <c r="L47" s="1237" t="str">
        <f>IF(基本情報入力シート!AB65="","",基本情報入力シート!AB65)</f>
        <v/>
      </c>
      <c r="M47" s="1292" t="str">
        <f>IF(基本情報入力シート!AC65="","",基本情報入力シート!AC65)</f>
        <v/>
      </c>
      <c r="N47" s="547" t="s">
        <v>183</v>
      </c>
      <c r="O47" s="151"/>
      <c r="P47" s="548" t="str">
        <f>IFERROR(VLOOKUP(K47,【参考】数式用!$A$5:$J$27,MATCH(O47,【参考】数式用!$B$4:$J$4,0)+1,0),"")</f>
        <v/>
      </c>
      <c r="Q47" s="151"/>
      <c r="R47" s="548" t="str">
        <f>IFERROR(VLOOKUP(K47,【参考】数式用!$A$5:$J$27,MATCH(Q47,【参考】数式用!$B$4:$J$4,0)+1,0),"")</f>
        <v/>
      </c>
      <c r="S47" s="549" t="s">
        <v>19</v>
      </c>
      <c r="T47" s="550">
        <v>6</v>
      </c>
      <c r="U47" s="202" t="s">
        <v>10</v>
      </c>
      <c r="V47" s="71">
        <v>4</v>
      </c>
      <c r="W47" s="202" t="s">
        <v>45</v>
      </c>
      <c r="X47" s="550">
        <v>6</v>
      </c>
      <c r="Y47" s="202" t="s">
        <v>10</v>
      </c>
      <c r="Z47" s="71">
        <v>5</v>
      </c>
      <c r="AA47" s="202" t="s">
        <v>13</v>
      </c>
      <c r="AB47" s="551" t="s">
        <v>24</v>
      </c>
      <c r="AC47" s="552">
        <f t="shared" ref="AC47:AC94" si="52">IF(V47&gt;=1,(X47*12+Z47)-(T47*12+V47)+1,"")</f>
        <v>2</v>
      </c>
      <c r="AD47" s="202" t="s">
        <v>38</v>
      </c>
      <c r="AE47" s="553" t="str">
        <f>IFERROR(ROUNDDOWN(ROUND(L47*R47,0)*M47,0)*AC47,"")</f>
        <v/>
      </c>
      <c r="AF47" s="554" t="str">
        <f>IFERROR(ROUNDDOWN(ROUND(L47*(R47-P47),0)*M47,0)*AC47,"")</f>
        <v/>
      </c>
      <c r="AG47" s="555"/>
      <c r="AH47" s="465"/>
      <c r="AI47" s="473"/>
      <c r="AJ47" s="470"/>
      <c r="AK47" s="471"/>
      <c r="AL47" s="451"/>
      <c r="AM47" s="452"/>
      <c r="AN47" s="556" t="str">
        <f t="shared" ref="AN47" si="53">IF(AP47="","",IF(R47&lt;P47,"！加算の要件上は問題ありませんが、令和６年３月と比較して４・５月に加算率が下がる計画になっています。",""))</f>
        <v/>
      </c>
      <c r="AP47" s="557" t="str">
        <f>IF(K47&lt;&gt;"","P列・R列に色付け","")</f>
        <v/>
      </c>
      <c r="AQ47" s="558" t="str">
        <f>IFERROR(VLOOKUP(K47,【参考】数式用!$AJ$2:$AK$24,2,FALSE),"")</f>
        <v/>
      </c>
      <c r="AR47" s="560" t="str">
        <f>Q47&amp;Q48&amp;Q49</f>
        <v/>
      </c>
      <c r="AS47" s="558" t="str">
        <f t="shared" ref="AS47" si="54">IF(AG49&lt;&gt;0,IF(AH49="○","入力済","未入力"),"")</f>
        <v/>
      </c>
      <c r="AT47" s="559" t="str">
        <f>IF(OR(Q47="処遇加算Ⅰ",Q47="処遇加算Ⅱ"),IF(OR(AI47="○",AI47="令和６年度中に満たす"),"入力済","未入力"),"")</f>
        <v/>
      </c>
      <c r="AU47" s="560" t="str">
        <f>IF(Q47="処遇加算Ⅲ",IF(AJ47="○","入力済","未入力"),"")</f>
        <v/>
      </c>
      <c r="AV47" s="558" t="str">
        <f>IF(Q47="処遇加算Ⅰ",IF(OR(AK47="○",AK47="令和６年度中に満たす"),"入力済","未入力"),"")</f>
        <v/>
      </c>
      <c r="AW47" s="558"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43" t="str">
        <f>IF(Q48="特定加算Ⅰ",IF(AM48="","未入力","入力済"),"")</f>
        <v/>
      </c>
      <c r="AY47" s="543" t="str">
        <f>G47</f>
        <v/>
      </c>
    </row>
    <row r="48" spans="1:51" ht="32.1" customHeight="1">
      <c r="A48" s="1226"/>
      <c r="B48" s="1223"/>
      <c r="C48" s="1223"/>
      <c r="D48" s="1223"/>
      <c r="E48" s="1223"/>
      <c r="F48" s="1223"/>
      <c r="G48" s="1235"/>
      <c r="H48" s="1235"/>
      <c r="I48" s="1235"/>
      <c r="J48" s="1235"/>
      <c r="K48" s="1235"/>
      <c r="L48" s="1238"/>
      <c r="M48" s="1293"/>
      <c r="N48" s="561" t="s">
        <v>170</v>
      </c>
      <c r="O48" s="152"/>
      <c r="P48" s="562" t="str">
        <f>IFERROR(VLOOKUP(K47,【参考】数式用!$A$5:$J$27,MATCH(O48,【参考】数式用!$B$4:$J$4,0)+1,0),"")</f>
        <v/>
      </c>
      <c r="Q48" s="152"/>
      <c r="R48" s="562" t="str">
        <f>IFERROR(VLOOKUP(K47,【参考】数式用!$A$5:$J$27,MATCH(Q48,【参考】数式用!$B$4:$J$4,0)+1,0),"")</f>
        <v/>
      </c>
      <c r="S48" s="173" t="s">
        <v>19</v>
      </c>
      <c r="T48" s="563">
        <v>6</v>
      </c>
      <c r="U48" s="174" t="s">
        <v>10</v>
      </c>
      <c r="V48" s="109">
        <v>4</v>
      </c>
      <c r="W48" s="174" t="s">
        <v>45</v>
      </c>
      <c r="X48" s="563">
        <v>6</v>
      </c>
      <c r="Y48" s="174" t="s">
        <v>10</v>
      </c>
      <c r="Z48" s="109">
        <v>5</v>
      </c>
      <c r="AA48" s="174" t="s">
        <v>13</v>
      </c>
      <c r="AB48" s="564" t="s">
        <v>24</v>
      </c>
      <c r="AC48" s="565">
        <f t="shared" si="52"/>
        <v>2</v>
      </c>
      <c r="AD48" s="174" t="s">
        <v>38</v>
      </c>
      <c r="AE48" s="566" t="str">
        <f>IFERROR(ROUNDDOWN(ROUND(L47*R48,0)*M47,0)*AC48,"")</f>
        <v/>
      </c>
      <c r="AF48" s="567" t="str">
        <f>IFERROR(ROUNDDOWN(ROUND(L47*(R48-P48),0)*M47,0)*AC48,"")</f>
        <v/>
      </c>
      <c r="AG48" s="568"/>
      <c r="AH48" s="453"/>
      <c r="AI48" s="454"/>
      <c r="AJ48" s="455"/>
      <c r="AK48" s="456"/>
      <c r="AL48" s="457"/>
      <c r="AM48" s="458"/>
      <c r="AN48" s="569" t="str">
        <f t="shared" ref="AN48" si="55">IF(AP47="","",IF(OR(Z47=4,Z48=4,Z49=4),"！加算の要件上は問題ありませんが、算定期間の終わりが令和６年５月になっていません。区分変更の場合は、「基本情報入力シート」で同じ事業所を２行に分けて記入してください。",""))</f>
        <v/>
      </c>
      <c r="AO48" s="570"/>
      <c r="AP48" s="557" t="str">
        <f>IF(K47&lt;&gt;"","P列・R列に色付け","")</f>
        <v/>
      </c>
      <c r="AY48" s="543" t="str">
        <f>G47</f>
        <v/>
      </c>
    </row>
    <row r="49" spans="1:51" ht="32.1" customHeight="1" thickBot="1">
      <c r="A49" s="1227"/>
      <c r="B49" s="1224"/>
      <c r="C49" s="1224"/>
      <c r="D49" s="1224"/>
      <c r="E49" s="1224"/>
      <c r="F49" s="1224"/>
      <c r="G49" s="1236"/>
      <c r="H49" s="1236"/>
      <c r="I49" s="1236"/>
      <c r="J49" s="1236"/>
      <c r="K49" s="1236"/>
      <c r="L49" s="1239"/>
      <c r="M49" s="1294"/>
      <c r="N49" s="571" t="s">
        <v>140</v>
      </c>
      <c r="O49" s="155"/>
      <c r="P49" s="591" t="str">
        <f>IFERROR(VLOOKUP(K47,【参考】数式用!$A$5:$J$27,MATCH(O49,【参考】数式用!$B$4:$J$4,0)+1,0),"")</f>
        <v/>
      </c>
      <c r="Q49" s="153"/>
      <c r="R49" s="572" t="str">
        <f>IFERROR(VLOOKUP(K47,【参考】数式用!$A$5:$J$27,MATCH(Q49,【参考】数式用!$B$4:$J$4,0)+1,0),"")</f>
        <v/>
      </c>
      <c r="S49" s="573" t="s">
        <v>19</v>
      </c>
      <c r="T49" s="574">
        <v>6</v>
      </c>
      <c r="U49" s="575" t="s">
        <v>10</v>
      </c>
      <c r="V49" s="110">
        <v>4</v>
      </c>
      <c r="W49" s="575" t="s">
        <v>45</v>
      </c>
      <c r="X49" s="574">
        <v>6</v>
      </c>
      <c r="Y49" s="575" t="s">
        <v>10</v>
      </c>
      <c r="Z49" s="110">
        <v>5</v>
      </c>
      <c r="AA49" s="575" t="s">
        <v>13</v>
      </c>
      <c r="AB49" s="576" t="s">
        <v>24</v>
      </c>
      <c r="AC49" s="577">
        <f t="shared" si="52"/>
        <v>2</v>
      </c>
      <c r="AD49" s="575" t="s">
        <v>38</v>
      </c>
      <c r="AE49" s="590" t="str">
        <f>IFERROR(ROUNDDOWN(ROUND(L47*R49,0)*M47,0)*AC49,"")</f>
        <v/>
      </c>
      <c r="AF49" s="579" t="str">
        <f>IFERROR(ROUNDDOWN(ROUND(L47*(R49-P49),0)*M47,0)*AC49,"")</f>
        <v/>
      </c>
      <c r="AG49" s="580">
        <f t="shared" ref="AG49" si="56">IF(AND(O49="ベア加算なし",Q49="ベア加算"),AE49,0)</f>
        <v>0</v>
      </c>
      <c r="AH49" s="459"/>
      <c r="AI49" s="460"/>
      <c r="AJ49" s="461"/>
      <c r="AK49" s="462"/>
      <c r="AL49" s="463"/>
      <c r="AM49" s="464"/>
      <c r="AN49" s="581" t="str">
        <f t="shared" ref="AN49" si="57">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82" t="str">
        <f>IF(K47&lt;&gt;"","P列・R列に色付け","")</f>
        <v/>
      </c>
      <c r="AQ49" s="583"/>
      <c r="AR49" s="583"/>
      <c r="AX49" s="584"/>
      <c r="AY49" s="543" t="str">
        <f>G47</f>
        <v/>
      </c>
    </row>
    <row r="50" spans="1:51" ht="32.1" customHeight="1">
      <c r="A50" s="1225">
        <v>13</v>
      </c>
      <c r="B50" s="1222" t="str">
        <f>IF(基本情報入力シート!C66="","",基本情報入力シート!C66)</f>
        <v/>
      </c>
      <c r="C50" s="1222"/>
      <c r="D50" s="1222"/>
      <c r="E50" s="1222"/>
      <c r="F50" s="1222"/>
      <c r="G50" s="1234" t="str">
        <f>IF(基本情報入力シート!M66="","",基本情報入力シート!M66)</f>
        <v/>
      </c>
      <c r="H50" s="1234" t="str">
        <f>IF(基本情報入力シート!R66="","",基本情報入力シート!R66)</f>
        <v/>
      </c>
      <c r="I50" s="1234" t="str">
        <f>IF(基本情報入力シート!W66="","",基本情報入力シート!W66)</f>
        <v/>
      </c>
      <c r="J50" s="1234" t="str">
        <f>IF(基本情報入力シート!X66="","",基本情報入力シート!X66)</f>
        <v/>
      </c>
      <c r="K50" s="1234" t="str">
        <f>IF(基本情報入力シート!Y66="","",基本情報入力シート!Y66)</f>
        <v/>
      </c>
      <c r="L50" s="1237" t="str">
        <f>IF(基本情報入力シート!AB66="","",基本情報入力シート!AB66)</f>
        <v/>
      </c>
      <c r="M50" s="1292" t="str">
        <f>IF(基本情報入力シート!AC66="","",基本情報入力シート!AC66)</f>
        <v/>
      </c>
      <c r="N50" s="547" t="s">
        <v>183</v>
      </c>
      <c r="O50" s="151"/>
      <c r="P50" s="548" t="str">
        <f>IFERROR(VLOOKUP(K50,【参考】数式用!$A$5:$J$27,MATCH(O50,【参考】数式用!$B$4:$J$4,0)+1,0),"")</f>
        <v/>
      </c>
      <c r="Q50" s="151"/>
      <c r="R50" s="548" t="str">
        <f>IFERROR(VLOOKUP(K50,【参考】数式用!$A$5:$J$27,MATCH(Q50,【参考】数式用!$B$4:$J$4,0)+1,0),"")</f>
        <v/>
      </c>
      <c r="S50" s="549" t="s">
        <v>19</v>
      </c>
      <c r="T50" s="550">
        <v>6</v>
      </c>
      <c r="U50" s="202" t="s">
        <v>10</v>
      </c>
      <c r="V50" s="71">
        <v>4</v>
      </c>
      <c r="W50" s="202" t="s">
        <v>45</v>
      </c>
      <c r="X50" s="550">
        <v>6</v>
      </c>
      <c r="Y50" s="202" t="s">
        <v>10</v>
      </c>
      <c r="Z50" s="71">
        <v>5</v>
      </c>
      <c r="AA50" s="202" t="s">
        <v>13</v>
      </c>
      <c r="AB50" s="551" t="s">
        <v>24</v>
      </c>
      <c r="AC50" s="552">
        <f t="shared" si="52"/>
        <v>2</v>
      </c>
      <c r="AD50" s="202" t="s">
        <v>38</v>
      </c>
      <c r="AE50" s="553" t="str">
        <f>IFERROR(ROUNDDOWN(ROUND(L50*R50,0)*M50,0)*AC50,"")</f>
        <v/>
      </c>
      <c r="AF50" s="554" t="str">
        <f>IFERROR(ROUNDDOWN(ROUND(L50*(R50-P50),0)*M50,0)*AC50,"")</f>
        <v/>
      </c>
      <c r="AG50" s="555"/>
      <c r="AH50" s="465"/>
      <c r="AI50" s="473"/>
      <c r="AJ50" s="470"/>
      <c r="AK50" s="471"/>
      <c r="AL50" s="451"/>
      <c r="AM50" s="452"/>
      <c r="AN50" s="556" t="str">
        <f t="shared" ref="AN50" si="58">IF(AP50="","",IF(R50&lt;P50,"！加算の要件上は問題ありませんが、令和６年３月と比較して４・５月に加算率が下がる計画になっています。",""))</f>
        <v/>
      </c>
      <c r="AP50" s="557" t="str">
        <f>IF(K50&lt;&gt;"","P列・R列に色付け","")</f>
        <v/>
      </c>
      <c r="AQ50" s="558" t="str">
        <f>IFERROR(VLOOKUP(K50,【参考】数式用!$AJ$2:$AK$24,2,FALSE),"")</f>
        <v/>
      </c>
      <c r="AR50" s="560" t="str">
        <f>Q50&amp;Q51&amp;Q52</f>
        <v/>
      </c>
      <c r="AS50" s="558" t="str">
        <f t="shared" ref="AS50" si="59">IF(AG52&lt;&gt;0,IF(AH52="○","入力済","未入力"),"")</f>
        <v/>
      </c>
      <c r="AT50" s="559" t="str">
        <f>IF(OR(Q50="処遇加算Ⅰ",Q50="処遇加算Ⅱ"),IF(OR(AI50="○",AI50="令和６年度中に満たす"),"入力済","未入力"),"")</f>
        <v/>
      </c>
      <c r="AU50" s="560" t="str">
        <f>IF(Q50="処遇加算Ⅲ",IF(AJ50="○","入力済","未入力"),"")</f>
        <v/>
      </c>
      <c r="AV50" s="558" t="str">
        <f>IF(Q50="処遇加算Ⅰ",IF(OR(AK50="○",AK50="令和６年度中に満たす"),"入力済","未入力"),"")</f>
        <v/>
      </c>
      <c r="AW50" s="558"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43" t="str">
        <f>IF(Q51="特定加算Ⅰ",IF(AM51="","未入力","入力済"),"")</f>
        <v/>
      </c>
      <c r="AY50" s="543" t="str">
        <f>G50</f>
        <v/>
      </c>
    </row>
    <row r="51" spans="1:51" ht="32.1" customHeight="1">
      <c r="A51" s="1226"/>
      <c r="B51" s="1223"/>
      <c r="C51" s="1223"/>
      <c r="D51" s="1223"/>
      <c r="E51" s="1223"/>
      <c r="F51" s="1223"/>
      <c r="G51" s="1235"/>
      <c r="H51" s="1235"/>
      <c r="I51" s="1235"/>
      <c r="J51" s="1235"/>
      <c r="K51" s="1235"/>
      <c r="L51" s="1238"/>
      <c r="M51" s="1293"/>
      <c r="N51" s="561" t="s">
        <v>170</v>
      </c>
      <c r="O51" s="152"/>
      <c r="P51" s="562" t="str">
        <f>IFERROR(VLOOKUP(K50,【参考】数式用!$A$5:$J$27,MATCH(O51,【参考】数式用!$B$4:$J$4,0)+1,0),"")</f>
        <v/>
      </c>
      <c r="Q51" s="152"/>
      <c r="R51" s="562" t="str">
        <f>IFERROR(VLOOKUP(K50,【参考】数式用!$A$5:$J$27,MATCH(Q51,【参考】数式用!$B$4:$J$4,0)+1,0),"")</f>
        <v/>
      </c>
      <c r="S51" s="173" t="s">
        <v>19</v>
      </c>
      <c r="T51" s="563">
        <v>6</v>
      </c>
      <c r="U51" s="174" t="s">
        <v>10</v>
      </c>
      <c r="V51" s="109">
        <v>4</v>
      </c>
      <c r="W51" s="174" t="s">
        <v>45</v>
      </c>
      <c r="X51" s="563">
        <v>6</v>
      </c>
      <c r="Y51" s="174" t="s">
        <v>10</v>
      </c>
      <c r="Z51" s="109">
        <v>5</v>
      </c>
      <c r="AA51" s="174" t="s">
        <v>13</v>
      </c>
      <c r="AB51" s="564" t="s">
        <v>24</v>
      </c>
      <c r="AC51" s="565">
        <f t="shared" si="52"/>
        <v>2</v>
      </c>
      <c r="AD51" s="174" t="s">
        <v>38</v>
      </c>
      <c r="AE51" s="566" t="str">
        <f>IFERROR(ROUNDDOWN(ROUND(L50*R51,0)*M50,0)*AC51,"")</f>
        <v/>
      </c>
      <c r="AF51" s="567" t="str">
        <f>IFERROR(ROUNDDOWN(ROUND(L50*(R51-P51),0)*M50,0)*AC51,"")</f>
        <v/>
      </c>
      <c r="AG51" s="568"/>
      <c r="AH51" s="453"/>
      <c r="AI51" s="454"/>
      <c r="AJ51" s="455"/>
      <c r="AK51" s="456"/>
      <c r="AL51" s="457"/>
      <c r="AM51" s="458"/>
      <c r="AN51" s="569" t="str">
        <f t="shared" ref="AN51" si="60">IF(AP50="","",IF(OR(Z50=4,Z51=4,Z52=4),"！加算の要件上は問題ありませんが、算定期間の終わりが令和６年５月になっていません。区分変更の場合は、「基本情報入力シート」で同じ事業所を２行に分けて記入してください。",""))</f>
        <v/>
      </c>
      <c r="AO51" s="570"/>
      <c r="AP51" s="557" t="str">
        <f>IF(K50&lt;&gt;"","P列・R列に色付け","")</f>
        <v/>
      </c>
      <c r="AY51" s="543" t="str">
        <f>G50</f>
        <v/>
      </c>
    </row>
    <row r="52" spans="1:51" ht="32.1" customHeight="1" thickBot="1">
      <c r="A52" s="1227"/>
      <c r="B52" s="1224"/>
      <c r="C52" s="1224"/>
      <c r="D52" s="1224"/>
      <c r="E52" s="1224"/>
      <c r="F52" s="1224"/>
      <c r="G52" s="1236"/>
      <c r="H52" s="1236"/>
      <c r="I52" s="1236"/>
      <c r="J52" s="1236"/>
      <c r="K52" s="1236"/>
      <c r="L52" s="1239"/>
      <c r="M52" s="1294"/>
      <c r="N52" s="571" t="s">
        <v>140</v>
      </c>
      <c r="O52" s="155"/>
      <c r="P52" s="591" t="str">
        <f>IFERROR(VLOOKUP(K50,【参考】数式用!$A$5:$J$27,MATCH(O52,【参考】数式用!$B$4:$J$4,0)+1,0),"")</f>
        <v/>
      </c>
      <c r="Q52" s="153"/>
      <c r="R52" s="572" t="str">
        <f>IFERROR(VLOOKUP(K50,【参考】数式用!$A$5:$J$27,MATCH(Q52,【参考】数式用!$B$4:$J$4,0)+1,0),"")</f>
        <v/>
      </c>
      <c r="S52" s="573" t="s">
        <v>19</v>
      </c>
      <c r="T52" s="574">
        <v>6</v>
      </c>
      <c r="U52" s="575" t="s">
        <v>10</v>
      </c>
      <c r="V52" s="110">
        <v>4</v>
      </c>
      <c r="W52" s="575" t="s">
        <v>45</v>
      </c>
      <c r="X52" s="574">
        <v>6</v>
      </c>
      <c r="Y52" s="575" t="s">
        <v>10</v>
      </c>
      <c r="Z52" s="110">
        <v>5</v>
      </c>
      <c r="AA52" s="575" t="s">
        <v>13</v>
      </c>
      <c r="AB52" s="576" t="s">
        <v>24</v>
      </c>
      <c r="AC52" s="577">
        <f t="shared" si="52"/>
        <v>2</v>
      </c>
      <c r="AD52" s="575" t="s">
        <v>38</v>
      </c>
      <c r="AE52" s="590" t="str">
        <f>IFERROR(ROUNDDOWN(ROUND(L50*R52,0)*M50,0)*AC52,"")</f>
        <v/>
      </c>
      <c r="AF52" s="579" t="str">
        <f>IFERROR(ROUNDDOWN(ROUND(L50*(R52-P52),0)*M50,0)*AC52,"")</f>
        <v/>
      </c>
      <c r="AG52" s="580">
        <f t="shared" ref="AG52" si="61">IF(AND(O52="ベア加算なし",Q52="ベア加算"),AE52,0)</f>
        <v>0</v>
      </c>
      <c r="AH52" s="459"/>
      <c r="AI52" s="460"/>
      <c r="AJ52" s="461"/>
      <c r="AK52" s="462"/>
      <c r="AL52" s="463"/>
      <c r="AM52" s="464"/>
      <c r="AN52" s="581" t="str">
        <f t="shared" ref="AN52" si="62">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82" t="str">
        <f>IF(K50&lt;&gt;"","P列・R列に色付け","")</f>
        <v/>
      </c>
      <c r="AQ52" s="583"/>
      <c r="AR52" s="583"/>
      <c r="AX52" s="584"/>
      <c r="AY52" s="543" t="str">
        <f>G50</f>
        <v/>
      </c>
    </row>
    <row r="53" spans="1:51" ht="32.1" customHeight="1">
      <c r="A53" s="1225">
        <v>14</v>
      </c>
      <c r="B53" s="1222" t="str">
        <f>IF(基本情報入力シート!C67="","",基本情報入力シート!C67)</f>
        <v/>
      </c>
      <c r="C53" s="1222"/>
      <c r="D53" s="1222"/>
      <c r="E53" s="1222"/>
      <c r="F53" s="1222"/>
      <c r="G53" s="1234" t="str">
        <f>IF(基本情報入力シート!M67="","",基本情報入力シート!M67)</f>
        <v/>
      </c>
      <c r="H53" s="1234" t="str">
        <f>IF(基本情報入力シート!R67="","",基本情報入力シート!R67)</f>
        <v/>
      </c>
      <c r="I53" s="1234" t="str">
        <f>IF(基本情報入力シート!W67="","",基本情報入力シート!W67)</f>
        <v/>
      </c>
      <c r="J53" s="1234" t="str">
        <f>IF(基本情報入力シート!X67="","",基本情報入力シート!X67)</f>
        <v/>
      </c>
      <c r="K53" s="1234" t="str">
        <f>IF(基本情報入力シート!Y67="","",基本情報入力シート!Y67)</f>
        <v/>
      </c>
      <c r="L53" s="1237" t="str">
        <f>IF(基本情報入力シート!AB67="","",基本情報入力シート!AB67)</f>
        <v/>
      </c>
      <c r="M53" s="1292" t="str">
        <f>IF(基本情報入力シート!AC67="","",基本情報入力シート!AC67)</f>
        <v/>
      </c>
      <c r="N53" s="547" t="s">
        <v>183</v>
      </c>
      <c r="O53" s="151"/>
      <c r="P53" s="548" t="str">
        <f>IFERROR(VLOOKUP(K53,【参考】数式用!$A$5:$J$27,MATCH(O53,【参考】数式用!$B$4:$J$4,0)+1,0),"")</f>
        <v/>
      </c>
      <c r="Q53" s="151"/>
      <c r="R53" s="548" t="str">
        <f>IFERROR(VLOOKUP(K53,【参考】数式用!$A$5:$J$27,MATCH(Q53,【参考】数式用!$B$4:$J$4,0)+1,0),"")</f>
        <v/>
      </c>
      <c r="S53" s="549" t="s">
        <v>19</v>
      </c>
      <c r="T53" s="550">
        <v>6</v>
      </c>
      <c r="U53" s="202" t="s">
        <v>10</v>
      </c>
      <c r="V53" s="71">
        <v>4</v>
      </c>
      <c r="W53" s="202" t="s">
        <v>45</v>
      </c>
      <c r="X53" s="550">
        <v>6</v>
      </c>
      <c r="Y53" s="202" t="s">
        <v>10</v>
      </c>
      <c r="Z53" s="71">
        <v>5</v>
      </c>
      <c r="AA53" s="202" t="s">
        <v>13</v>
      </c>
      <c r="AB53" s="551" t="s">
        <v>24</v>
      </c>
      <c r="AC53" s="552">
        <f t="shared" si="52"/>
        <v>2</v>
      </c>
      <c r="AD53" s="202" t="s">
        <v>38</v>
      </c>
      <c r="AE53" s="553" t="str">
        <f>IFERROR(ROUNDDOWN(ROUND(L53*R53,0)*M53,0)*AC53,"")</f>
        <v/>
      </c>
      <c r="AF53" s="554" t="str">
        <f>IFERROR(ROUNDDOWN(ROUND(L53*(R53-P53),0)*M53,0)*AC53,"")</f>
        <v/>
      </c>
      <c r="AG53" s="555"/>
      <c r="AH53" s="465"/>
      <c r="AI53" s="473"/>
      <c r="AJ53" s="470"/>
      <c r="AK53" s="471"/>
      <c r="AL53" s="451"/>
      <c r="AM53" s="452"/>
      <c r="AN53" s="556" t="str">
        <f t="shared" ref="AN53" si="63">IF(AP53="","",IF(R53&lt;P53,"！加算の要件上は問題ありませんが、令和６年３月と比較して４・５月に加算率が下がる計画になっています。",""))</f>
        <v/>
      </c>
      <c r="AP53" s="557" t="str">
        <f>IF(K53&lt;&gt;"","P列・R列に色付け","")</f>
        <v/>
      </c>
      <c r="AQ53" s="558" t="str">
        <f>IFERROR(VLOOKUP(K53,【参考】数式用!$AJ$2:$AK$24,2,FALSE),"")</f>
        <v/>
      </c>
      <c r="AR53" s="560" t="str">
        <f>Q53&amp;Q54&amp;Q55</f>
        <v/>
      </c>
      <c r="AS53" s="558" t="str">
        <f t="shared" ref="AS53" si="64">IF(AG55&lt;&gt;0,IF(AH55="○","入力済","未入力"),"")</f>
        <v/>
      </c>
      <c r="AT53" s="559" t="str">
        <f>IF(OR(Q53="処遇加算Ⅰ",Q53="処遇加算Ⅱ"),IF(OR(AI53="○",AI53="令和６年度中に満たす"),"入力済","未入力"),"")</f>
        <v/>
      </c>
      <c r="AU53" s="560" t="str">
        <f>IF(Q53="処遇加算Ⅲ",IF(AJ53="○","入力済","未入力"),"")</f>
        <v/>
      </c>
      <c r="AV53" s="558" t="str">
        <f>IF(Q53="処遇加算Ⅰ",IF(OR(AK53="○",AK53="令和６年度中に満たす"),"入力済","未入力"),"")</f>
        <v/>
      </c>
      <c r="AW53" s="558"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43" t="str">
        <f>IF(Q54="特定加算Ⅰ",IF(AM54="","未入力","入力済"),"")</f>
        <v/>
      </c>
      <c r="AY53" s="543" t="str">
        <f>G53</f>
        <v/>
      </c>
    </row>
    <row r="54" spans="1:51" ht="32.1" customHeight="1">
      <c r="A54" s="1226"/>
      <c r="B54" s="1223"/>
      <c r="C54" s="1223"/>
      <c r="D54" s="1223"/>
      <c r="E54" s="1223"/>
      <c r="F54" s="1223"/>
      <c r="G54" s="1235"/>
      <c r="H54" s="1235"/>
      <c r="I54" s="1235"/>
      <c r="J54" s="1235"/>
      <c r="K54" s="1235"/>
      <c r="L54" s="1238"/>
      <c r="M54" s="1293"/>
      <c r="N54" s="561" t="s">
        <v>170</v>
      </c>
      <c r="O54" s="152"/>
      <c r="P54" s="562" t="str">
        <f>IFERROR(VLOOKUP(K53,【参考】数式用!$A$5:$J$27,MATCH(O54,【参考】数式用!$B$4:$J$4,0)+1,0),"")</f>
        <v/>
      </c>
      <c r="Q54" s="152"/>
      <c r="R54" s="562" t="str">
        <f>IFERROR(VLOOKUP(K53,【参考】数式用!$A$5:$J$27,MATCH(Q54,【参考】数式用!$B$4:$J$4,0)+1,0),"")</f>
        <v/>
      </c>
      <c r="S54" s="173" t="s">
        <v>19</v>
      </c>
      <c r="T54" s="563">
        <v>6</v>
      </c>
      <c r="U54" s="174" t="s">
        <v>10</v>
      </c>
      <c r="V54" s="109">
        <v>4</v>
      </c>
      <c r="W54" s="174" t="s">
        <v>45</v>
      </c>
      <c r="X54" s="563">
        <v>6</v>
      </c>
      <c r="Y54" s="174" t="s">
        <v>10</v>
      </c>
      <c r="Z54" s="109">
        <v>5</v>
      </c>
      <c r="AA54" s="174" t="s">
        <v>13</v>
      </c>
      <c r="AB54" s="564" t="s">
        <v>24</v>
      </c>
      <c r="AC54" s="565">
        <f t="shared" si="52"/>
        <v>2</v>
      </c>
      <c r="AD54" s="174" t="s">
        <v>38</v>
      </c>
      <c r="AE54" s="566" t="str">
        <f>IFERROR(ROUNDDOWN(ROUND(L53*R54,0)*M53,0)*AC54,"")</f>
        <v/>
      </c>
      <c r="AF54" s="567" t="str">
        <f>IFERROR(ROUNDDOWN(ROUND(L53*(R54-P54),0)*M53,0)*AC54,"")</f>
        <v/>
      </c>
      <c r="AG54" s="568"/>
      <c r="AH54" s="453"/>
      <c r="AI54" s="454"/>
      <c r="AJ54" s="455"/>
      <c r="AK54" s="456"/>
      <c r="AL54" s="457"/>
      <c r="AM54" s="458"/>
      <c r="AN54" s="569" t="str">
        <f t="shared" ref="AN54" si="65">IF(AP53="","",IF(OR(Z53=4,Z54=4,Z55=4),"！加算の要件上は問題ありませんが、算定期間の終わりが令和６年５月になっていません。区分変更の場合は、「基本情報入力シート」で同じ事業所を２行に分けて記入してください。",""))</f>
        <v/>
      </c>
      <c r="AO54" s="570"/>
      <c r="AP54" s="557" t="str">
        <f>IF(K53&lt;&gt;"","P列・R列に色付け","")</f>
        <v/>
      </c>
      <c r="AY54" s="543" t="str">
        <f>G53</f>
        <v/>
      </c>
    </row>
    <row r="55" spans="1:51" ht="32.1" customHeight="1" thickBot="1">
      <c r="A55" s="1227"/>
      <c r="B55" s="1224"/>
      <c r="C55" s="1224"/>
      <c r="D55" s="1224"/>
      <c r="E55" s="1224"/>
      <c r="F55" s="1224"/>
      <c r="G55" s="1236"/>
      <c r="H55" s="1236"/>
      <c r="I55" s="1236"/>
      <c r="J55" s="1236"/>
      <c r="K55" s="1236"/>
      <c r="L55" s="1239"/>
      <c r="M55" s="1294"/>
      <c r="N55" s="571" t="s">
        <v>140</v>
      </c>
      <c r="O55" s="155"/>
      <c r="P55" s="591" t="str">
        <f>IFERROR(VLOOKUP(K53,【参考】数式用!$A$5:$J$27,MATCH(O55,【参考】数式用!$B$4:$J$4,0)+1,0),"")</f>
        <v/>
      </c>
      <c r="Q55" s="153"/>
      <c r="R55" s="572" t="str">
        <f>IFERROR(VLOOKUP(K53,【参考】数式用!$A$5:$J$27,MATCH(Q55,【参考】数式用!$B$4:$J$4,0)+1,0),"")</f>
        <v/>
      </c>
      <c r="S55" s="573" t="s">
        <v>19</v>
      </c>
      <c r="T55" s="574">
        <v>6</v>
      </c>
      <c r="U55" s="575" t="s">
        <v>10</v>
      </c>
      <c r="V55" s="110">
        <v>4</v>
      </c>
      <c r="W55" s="575" t="s">
        <v>45</v>
      </c>
      <c r="X55" s="574">
        <v>6</v>
      </c>
      <c r="Y55" s="575" t="s">
        <v>10</v>
      </c>
      <c r="Z55" s="110">
        <v>5</v>
      </c>
      <c r="AA55" s="575" t="s">
        <v>13</v>
      </c>
      <c r="AB55" s="576" t="s">
        <v>24</v>
      </c>
      <c r="AC55" s="577">
        <f t="shared" si="52"/>
        <v>2</v>
      </c>
      <c r="AD55" s="575" t="s">
        <v>38</v>
      </c>
      <c r="AE55" s="590" t="str">
        <f>IFERROR(ROUNDDOWN(ROUND(L53*R55,0)*M53,0)*AC55,"")</f>
        <v/>
      </c>
      <c r="AF55" s="579" t="str">
        <f>IFERROR(ROUNDDOWN(ROUND(L53*(R55-P55),0)*M53,0)*AC55,"")</f>
        <v/>
      </c>
      <c r="AG55" s="580">
        <f t="shared" ref="AG55:AG118" si="66">IF(AND(O55="ベア加算なし",Q55="ベア加算"),AE55,0)</f>
        <v>0</v>
      </c>
      <c r="AH55" s="459"/>
      <c r="AI55" s="460"/>
      <c r="AJ55" s="461"/>
      <c r="AK55" s="462"/>
      <c r="AL55" s="463"/>
      <c r="AM55" s="464"/>
      <c r="AN55" s="581" t="str">
        <f t="shared" ref="AN55" si="67">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82" t="str">
        <f>IF(K53&lt;&gt;"","P列・R列に色付け","")</f>
        <v/>
      </c>
      <c r="AQ55" s="583"/>
      <c r="AR55" s="583"/>
      <c r="AX55" s="584"/>
      <c r="AY55" s="543" t="str">
        <f>G53</f>
        <v/>
      </c>
    </row>
    <row r="56" spans="1:51" ht="32.1" customHeight="1">
      <c r="A56" s="1225">
        <v>15</v>
      </c>
      <c r="B56" s="1222" t="str">
        <f>IF(基本情報入力シート!C68="","",基本情報入力シート!C68)</f>
        <v/>
      </c>
      <c r="C56" s="1222"/>
      <c r="D56" s="1222"/>
      <c r="E56" s="1222"/>
      <c r="F56" s="1222"/>
      <c r="G56" s="1234" t="str">
        <f>IF(基本情報入力シート!M68="","",基本情報入力シート!M68)</f>
        <v/>
      </c>
      <c r="H56" s="1234" t="str">
        <f>IF(基本情報入力シート!R68="","",基本情報入力シート!R68)</f>
        <v/>
      </c>
      <c r="I56" s="1234" t="str">
        <f>IF(基本情報入力シート!W68="","",基本情報入力シート!W68)</f>
        <v/>
      </c>
      <c r="J56" s="1234" t="str">
        <f>IF(基本情報入力シート!X68="","",基本情報入力シート!X68)</f>
        <v/>
      </c>
      <c r="K56" s="1234" t="str">
        <f>IF(基本情報入力シート!Y68="","",基本情報入力シート!Y68)</f>
        <v/>
      </c>
      <c r="L56" s="1237" t="str">
        <f>IF(基本情報入力シート!AB68="","",基本情報入力シート!AB68)</f>
        <v/>
      </c>
      <c r="M56" s="1292" t="str">
        <f>IF(基本情報入力シート!AC68="","",基本情報入力シート!AC68)</f>
        <v/>
      </c>
      <c r="N56" s="547" t="s">
        <v>183</v>
      </c>
      <c r="O56" s="151"/>
      <c r="P56" s="548" t="str">
        <f>IFERROR(VLOOKUP(K56,【参考】数式用!$A$5:$J$27,MATCH(O56,【参考】数式用!$B$4:$J$4,0)+1,0),"")</f>
        <v/>
      </c>
      <c r="Q56" s="151"/>
      <c r="R56" s="548" t="str">
        <f>IFERROR(VLOOKUP(K56,【参考】数式用!$A$5:$J$27,MATCH(Q56,【参考】数式用!$B$4:$J$4,0)+1,0),"")</f>
        <v/>
      </c>
      <c r="S56" s="549" t="s">
        <v>19</v>
      </c>
      <c r="T56" s="550">
        <v>6</v>
      </c>
      <c r="U56" s="202" t="s">
        <v>10</v>
      </c>
      <c r="V56" s="71">
        <v>4</v>
      </c>
      <c r="W56" s="202" t="s">
        <v>45</v>
      </c>
      <c r="X56" s="550">
        <v>6</v>
      </c>
      <c r="Y56" s="202" t="s">
        <v>10</v>
      </c>
      <c r="Z56" s="71">
        <v>5</v>
      </c>
      <c r="AA56" s="202" t="s">
        <v>13</v>
      </c>
      <c r="AB56" s="551" t="s">
        <v>24</v>
      </c>
      <c r="AC56" s="552">
        <f t="shared" si="52"/>
        <v>2</v>
      </c>
      <c r="AD56" s="202" t="s">
        <v>38</v>
      </c>
      <c r="AE56" s="553" t="str">
        <f>IFERROR(ROUNDDOWN(ROUND(L56*R56,0)*M56,0)*AC56,"")</f>
        <v/>
      </c>
      <c r="AF56" s="554" t="str">
        <f>IFERROR(ROUNDDOWN(ROUND(L56*(R56-P56),0)*M56,0)*AC56,"")</f>
        <v/>
      </c>
      <c r="AG56" s="555"/>
      <c r="AH56" s="465"/>
      <c r="AI56" s="473"/>
      <c r="AJ56" s="470"/>
      <c r="AK56" s="471"/>
      <c r="AL56" s="451"/>
      <c r="AM56" s="452"/>
      <c r="AN56" s="556" t="str">
        <f t="shared" ref="AN56" si="68">IF(AP56="","",IF(R56&lt;P56,"！加算の要件上は問題ありませんが、令和６年３月と比較して４・５月に加算率が下がる計画になっています。",""))</f>
        <v/>
      </c>
      <c r="AP56" s="557" t="str">
        <f>IF(K56&lt;&gt;"","P列・R列に色付け","")</f>
        <v/>
      </c>
      <c r="AQ56" s="558" t="str">
        <f>IFERROR(VLOOKUP(K56,【参考】数式用!$AJ$2:$AK$24,2,FALSE),"")</f>
        <v/>
      </c>
      <c r="AR56" s="560" t="str">
        <f>Q56&amp;Q57&amp;Q58</f>
        <v/>
      </c>
      <c r="AS56" s="558" t="str">
        <f t="shared" ref="AS56" si="69">IF(AG58&lt;&gt;0,IF(AH58="○","入力済","未入力"),"")</f>
        <v/>
      </c>
      <c r="AT56" s="559" t="str">
        <f>IF(OR(Q56="処遇加算Ⅰ",Q56="処遇加算Ⅱ"),IF(OR(AI56="○",AI56="令和６年度中に満たす"),"入力済","未入力"),"")</f>
        <v/>
      </c>
      <c r="AU56" s="560" t="str">
        <f>IF(Q56="処遇加算Ⅲ",IF(AJ56="○","入力済","未入力"),"")</f>
        <v/>
      </c>
      <c r="AV56" s="558" t="str">
        <f>IF(Q56="処遇加算Ⅰ",IF(OR(AK56="○",AK56="令和６年度中に満たす"),"入力済","未入力"),"")</f>
        <v/>
      </c>
      <c r="AW56" s="558"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43" t="str">
        <f>IF(Q57="特定加算Ⅰ",IF(AM57="","未入力","入力済"),"")</f>
        <v/>
      </c>
      <c r="AY56" s="543" t="str">
        <f>G56</f>
        <v/>
      </c>
    </row>
    <row r="57" spans="1:51" ht="32.1" customHeight="1">
      <c r="A57" s="1226"/>
      <c r="B57" s="1223"/>
      <c r="C57" s="1223"/>
      <c r="D57" s="1223"/>
      <c r="E57" s="1223"/>
      <c r="F57" s="1223"/>
      <c r="G57" s="1235"/>
      <c r="H57" s="1235"/>
      <c r="I57" s="1235"/>
      <c r="J57" s="1235"/>
      <c r="K57" s="1235"/>
      <c r="L57" s="1238"/>
      <c r="M57" s="1293"/>
      <c r="N57" s="561" t="s">
        <v>170</v>
      </c>
      <c r="O57" s="152"/>
      <c r="P57" s="562" t="str">
        <f>IFERROR(VLOOKUP(K56,【参考】数式用!$A$5:$J$27,MATCH(O57,【参考】数式用!$B$4:$J$4,0)+1,0),"")</f>
        <v/>
      </c>
      <c r="Q57" s="152"/>
      <c r="R57" s="562" t="str">
        <f>IFERROR(VLOOKUP(K56,【参考】数式用!$A$5:$J$27,MATCH(Q57,【参考】数式用!$B$4:$J$4,0)+1,0),"")</f>
        <v/>
      </c>
      <c r="S57" s="173" t="s">
        <v>19</v>
      </c>
      <c r="T57" s="563">
        <v>6</v>
      </c>
      <c r="U57" s="174" t="s">
        <v>10</v>
      </c>
      <c r="V57" s="109">
        <v>4</v>
      </c>
      <c r="W57" s="174" t="s">
        <v>45</v>
      </c>
      <c r="X57" s="563">
        <v>6</v>
      </c>
      <c r="Y57" s="174" t="s">
        <v>10</v>
      </c>
      <c r="Z57" s="109">
        <v>5</v>
      </c>
      <c r="AA57" s="174" t="s">
        <v>13</v>
      </c>
      <c r="AB57" s="564" t="s">
        <v>24</v>
      </c>
      <c r="AC57" s="565">
        <f t="shared" si="52"/>
        <v>2</v>
      </c>
      <c r="AD57" s="174" t="s">
        <v>38</v>
      </c>
      <c r="AE57" s="566" t="str">
        <f>IFERROR(ROUNDDOWN(ROUND(L56*R57,0)*M56,0)*AC57,"")</f>
        <v/>
      </c>
      <c r="AF57" s="567" t="str">
        <f>IFERROR(ROUNDDOWN(ROUND(L56*(R57-P57),0)*M56,0)*AC57,"")</f>
        <v/>
      </c>
      <c r="AG57" s="568"/>
      <c r="AH57" s="453"/>
      <c r="AI57" s="454"/>
      <c r="AJ57" s="455"/>
      <c r="AK57" s="456"/>
      <c r="AL57" s="457"/>
      <c r="AM57" s="458"/>
      <c r="AN57" s="569" t="str">
        <f t="shared" ref="AN57" si="70">IF(AP56="","",IF(OR(Z56=4,Z57=4,Z58=4),"！加算の要件上は問題ありませんが、算定期間の終わりが令和６年５月になっていません。区分変更の場合は、「基本情報入力シート」で同じ事業所を２行に分けて記入してください。",""))</f>
        <v/>
      </c>
      <c r="AO57" s="570"/>
      <c r="AP57" s="557" t="str">
        <f>IF(K56&lt;&gt;"","P列・R列に色付け","")</f>
        <v/>
      </c>
      <c r="AY57" s="543" t="str">
        <f>G56</f>
        <v/>
      </c>
    </row>
    <row r="58" spans="1:51" ht="32.1" customHeight="1" thickBot="1">
      <c r="A58" s="1227"/>
      <c r="B58" s="1224"/>
      <c r="C58" s="1224"/>
      <c r="D58" s="1224"/>
      <c r="E58" s="1224"/>
      <c r="F58" s="1224"/>
      <c r="G58" s="1236"/>
      <c r="H58" s="1236"/>
      <c r="I58" s="1236"/>
      <c r="J58" s="1236"/>
      <c r="K58" s="1236"/>
      <c r="L58" s="1239"/>
      <c r="M58" s="1294"/>
      <c r="N58" s="571" t="s">
        <v>140</v>
      </c>
      <c r="O58" s="155"/>
      <c r="P58" s="591" t="str">
        <f>IFERROR(VLOOKUP(K56,【参考】数式用!$A$5:$J$27,MATCH(O58,【参考】数式用!$B$4:$J$4,0)+1,0),"")</f>
        <v/>
      </c>
      <c r="Q58" s="153"/>
      <c r="R58" s="572" t="str">
        <f>IFERROR(VLOOKUP(K56,【参考】数式用!$A$5:$J$27,MATCH(Q58,【参考】数式用!$B$4:$J$4,0)+1,0),"")</f>
        <v/>
      </c>
      <c r="S58" s="573" t="s">
        <v>19</v>
      </c>
      <c r="T58" s="574">
        <v>6</v>
      </c>
      <c r="U58" s="575" t="s">
        <v>10</v>
      </c>
      <c r="V58" s="110">
        <v>4</v>
      </c>
      <c r="W58" s="575" t="s">
        <v>45</v>
      </c>
      <c r="X58" s="574">
        <v>6</v>
      </c>
      <c r="Y58" s="575" t="s">
        <v>10</v>
      </c>
      <c r="Z58" s="110">
        <v>5</v>
      </c>
      <c r="AA58" s="575" t="s">
        <v>13</v>
      </c>
      <c r="AB58" s="576" t="s">
        <v>24</v>
      </c>
      <c r="AC58" s="577">
        <f t="shared" si="52"/>
        <v>2</v>
      </c>
      <c r="AD58" s="575" t="s">
        <v>38</v>
      </c>
      <c r="AE58" s="590" t="str">
        <f>IFERROR(ROUNDDOWN(ROUND(L56*R58,0)*M56,0)*AC58,"")</f>
        <v/>
      </c>
      <c r="AF58" s="579" t="str">
        <f>IFERROR(ROUNDDOWN(ROUND(L56*(R58-P58),0)*M56,0)*AC58,"")</f>
        <v/>
      </c>
      <c r="AG58" s="580">
        <f t="shared" si="66"/>
        <v>0</v>
      </c>
      <c r="AH58" s="459"/>
      <c r="AI58" s="460"/>
      <c r="AJ58" s="461"/>
      <c r="AK58" s="462"/>
      <c r="AL58" s="463"/>
      <c r="AM58" s="464"/>
      <c r="AN58" s="581" t="str">
        <f t="shared" ref="AN58" si="71">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82" t="str">
        <f>IF(K56&lt;&gt;"","P列・R列に色付け","")</f>
        <v/>
      </c>
      <c r="AQ58" s="583"/>
      <c r="AR58" s="583"/>
      <c r="AX58" s="584"/>
      <c r="AY58" s="543" t="str">
        <f>G56</f>
        <v/>
      </c>
    </row>
    <row r="59" spans="1:51" ht="32.1" customHeight="1">
      <c r="A59" s="1225">
        <v>16</v>
      </c>
      <c r="B59" s="1222" t="str">
        <f>IF(基本情報入力シート!C69="","",基本情報入力シート!C69)</f>
        <v/>
      </c>
      <c r="C59" s="1222"/>
      <c r="D59" s="1222"/>
      <c r="E59" s="1222"/>
      <c r="F59" s="1222"/>
      <c r="G59" s="1234" t="str">
        <f>IF(基本情報入力シート!M69="","",基本情報入力シート!M69)</f>
        <v/>
      </c>
      <c r="H59" s="1234" t="str">
        <f>IF(基本情報入力シート!R69="","",基本情報入力シート!R69)</f>
        <v/>
      </c>
      <c r="I59" s="1234" t="str">
        <f>IF(基本情報入力シート!W69="","",基本情報入力シート!W69)</f>
        <v/>
      </c>
      <c r="J59" s="1234" t="str">
        <f>IF(基本情報入力シート!X69="","",基本情報入力シート!X69)</f>
        <v/>
      </c>
      <c r="K59" s="1234" t="str">
        <f>IF(基本情報入力シート!Y69="","",基本情報入力シート!Y69)</f>
        <v/>
      </c>
      <c r="L59" s="1237" t="str">
        <f>IF(基本情報入力シート!AB69="","",基本情報入力シート!AB69)</f>
        <v/>
      </c>
      <c r="M59" s="1292" t="str">
        <f>IF(基本情報入力シート!AC69="","",基本情報入力シート!AC69)</f>
        <v/>
      </c>
      <c r="N59" s="547" t="s">
        <v>183</v>
      </c>
      <c r="O59" s="151"/>
      <c r="P59" s="548" t="str">
        <f>IFERROR(VLOOKUP(K59,【参考】数式用!$A$5:$J$27,MATCH(O59,【参考】数式用!$B$4:$J$4,0)+1,0),"")</f>
        <v/>
      </c>
      <c r="Q59" s="151"/>
      <c r="R59" s="548" t="str">
        <f>IFERROR(VLOOKUP(K59,【参考】数式用!$A$5:$J$27,MATCH(Q59,【参考】数式用!$B$4:$J$4,0)+1,0),"")</f>
        <v/>
      </c>
      <c r="S59" s="549" t="s">
        <v>19</v>
      </c>
      <c r="T59" s="550">
        <v>6</v>
      </c>
      <c r="U59" s="202" t="s">
        <v>10</v>
      </c>
      <c r="V59" s="71">
        <v>4</v>
      </c>
      <c r="W59" s="202" t="s">
        <v>45</v>
      </c>
      <c r="X59" s="550">
        <v>6</v>
      </c>
      <c r="Y59" s="202" t="s">
        <v>10</v>
      </c>
      <c r="Z59" s="71">
        <v>5</v>
      </c>
      <c r="AA59" s="202" t="s">
        <v>13</v>
      </c>
      <c r="AB59" s="551" t="s">
        <v>24</v>
      </c>
      <c r="AC59" s="552">
        <f t="shared" si="52"/>
        <v>2</v>
      </c>
      <c r="AD59" s="202" t="s">
        <v>38</v>
      </c>
      <c r="AE59" s="553" t="str">
        <f>IFERROR(ROUNDDOWN(ROUND(L59*R59,0)*M59,0)*AC59,"")</f>
        <v/>
      </c>
      <c r="AF59" s="554" t="str">
        <f>IFERROR(ROUNDDOWN(ROUND(L59*(R59-P59),0)*M59,0)*AC59,"")</f>
        <v/>
      </c>
      <c r="AG59" s="555"/>
      <c r="AH59" s="465"/>
      <c r="AI59" s="473"/>
      <c r="AJ59" s="470"/>
      <c r="AK59" s="471"/>
      <c r="AL59" s="451"/>
      <c r="AM59" s="452"/>
      <c r="AN59" s="556" t="str">
        <f t="shared" ref="AN59" si="72">IF(AP59="","",IF(R59&lt;P59,"！加算の要件上は問題ありませんが、令和６年３月と比較して４・５月に加算率が下がる計画になっています。",""))</f>
        <v/>
      </c>
      <c r="AP59" s="557" t="str">
        <f>IF(K59&lt;&gt;"","P列・R列に色付け","")</f>
        <v/>
      </c>
      <c r="AQ59" s="558" t="str">
        <f>IFERROR(VLOOKUP(K59,【参考】数式用!$AJ$2:$AK$24,2,FALSE),"")</f>
        <v/>
      </c>
      <c r="AR59" s="560" t="str">
        <f>Q59&amp;Q60&amp;Q61</f>
        <v/>
      </c>
      <c r="AS59" s="558" t="str">
        <f t="shared" ref="AS59" si="73">IF(AG61&lt;&gt;0,IF(AH61="○","入力済","未入力"),"")</f>
        <v/>
      </c>
      <c r="AT59" s="559" t="str">
        <f>IF(OR(Q59="処遇加算Ⅰ",Q59="処遇加算Ⅱ"),IF(OR(AI59="○",AI59="令和６年度中に満たす"),"入力済","未入力"),"")</f>
        <v/>
      </c>
      <c r="AU59" s="560" t="str">
        <f>IF(Q59="処遇加算Ⅲ",IF(AJ59="○","入力済","未入力"),"")</f>
        <v/>
      </c>
      <c r="AV59" s="558" t="str">
        <f>IF(Q59="処遇加算Ⅰ",IF(OR(AK59="○",AK59="令和６年度中に満たす"),"入力済","未入力"),"")</f>
        <v/>
      </c>
      <c r="AW59" s="558"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43" t="str">
        <f>IF(Q60="特定加算Ⅰ",IF(AM60="","未入力","入力済"),"")</f>
        <v/>
      </c>
      <c r="AY59" s="543" t="str">
        <f>G59</f>
        <v/>
      </c>
    </row>
    <row r="60" spans="1:51" ht="32.1" customHeight="1">
      <c r="A60" s="1226"/>
      <c r="B60" s="1223"/>
      <c r="C60" s="1223"/>
      <c r="D60" s="1223"/>
      <c r="E60" s="1223"/>
      <c r="F60" s="1223"/>
      <c r="G60" s="1235"/>
      <c r="H60" s="1235"/>
      <c r="I60" s="1235"/>
      <c r="J60" s="1235"/>
      <c r="K60" s="1235"/>
      <c r="L60" s="1238"/>
      <c r="M60" s="1293"/>
      <c r="N60" s="561" t="s">
        <v>170</v>
      </c>
      <c r="O60" s="152"/>
      <c r="P60" s="562" t="str">
        <f>IFERROR(VLOOKUP(K59,【参考】数式用!$A$5:$J$27,MATCH(O60,【参考】数式用!$B$4:$J$4,0)+1,0),"")</f>
        <v/>
      </c>
      <c r="Q60" s="152"/>
      <c r="R60" s="562" t="str">
        <f>IFERROR(VLOOKUP(K59,【参考】数式用!$A$5:$J$27,MATCH(Q60,【参考】数式用!$B$4:$J$4,0)+1,0),"")</f>
        <v/>
      </c>
      <c r="S60" s="173" t="s">
        <v>19</v>
      </c>
      <c r="T60" s="563">
        <v>6</v>
      </c>
      <c r="U60" s="174" t="s">
        <v>10</v>
      </c>
      <c r="V60" s="109">
        <v>4</v>
      </c>
      <c r="W60" s="174" t="s">
        <v>45</v>
      </c>
      <c r="X60" s="563">
        <v>6</v>
      </c>
      <c r="Y60" s="174" t="s">
        <v>10</v>
      </c>
      <c r="Z60" s="109">
        <v>5</v>
      </c>
      <c r="AA60" s="174" t="s">
        <v>13</v>
      </c>
      <c r="AB60" s="564" t="s">
        <v>24</v>
      </c>
      <c r="AC60" s="565">
        <f t="shared" si="52"/>
        <v>2</v>
      </c>
      <c r="AD60" s="174" t="s">
        <v>38</v>
      </c>
      <c r="AE60" s="566" t="str">
        <f>IFERROR(ROUNDDOWN(ROUND(L59*R60,0)*M59,0)*AC60,"")</f>
        <v/>
      </c>
      <c r="AF60" s="567" t="str">
        <f>IFERROR(ROUNDDOWN(ROUND(L59*(R60-P60),0)*M59,0)*AC60,"")</f>
        <v/>
      </c>
      <c r="AG60" s="568"/>
      <c r="AH60" s="453"/>
      <c r="AI60" s="454"/>
      <c r="AJ60" s="455"/>
      <c r="AK60" s="456"/>
      <c r="AL60" s="457"/>
      <c r="AM60" s="458"/>
      <c r="AN60" s="569" t="str">
        <f t="shared" ref="AN60" si="74">IF(AP59="","",IF(OR(Z59=4,Z60=4,Z61=4),"！加算の要件上は問題ありませんが、算定期間の終わりが令和６年５月になっていません。区分変更の場合は、「基本情報入力シート」で同じ事業所を２行に分けて記入してください。",""))</f>
        <v/>
      </c>
      <c r="AO60" s="570"/>
      <c r="AP60" s="557" t="str">
        <f>IF(K59&lt;&gt;"","P列・R列に色付け","")</f>
        <v/>
      </c>
      <c r="AY60" s="543" t="str">
        <f>G59</f>
        <v/>
      </c>
    </row>
    <row r="61" spans="1:51" ht="32.1" customHeight="1" thickBot="1">
      <c r="A61" s="1227"/>
      <c r="B61" s="1224"/>
      <c r="C61" s="1224"/>
      <c r="D61" s="1224"/>
      <c r="E61" s="1224"/>
      <c r="F61" s="1224"/>
      <c r="G61" s="1236"/>
      <c r="H61" s="1236"/>
      <c r="I61" s="1236"/>
      <c r="J61" s="1236"/>
      <c r="K61" s="1236"/>
      <c r="L61" s="1239"/>
      <c r="M61" s="1294"/>
      <c r="N61" s="571" t="s">
        <v>140</v>
      </c>
      <c r="O61" s="155"/>
      <c r="P61" s="591" t="str">
        <f>IFERROR(VLOOKUP(K59,【参考】数式用!$A$5:$J$27,MATCH(O61,【参考】数式用!$B$4:$J$4,0)+1,0),"")</f>
        <v/>
      </c>
      <c r="Q61" s="153"/>
      <c r="R61" s="572" t="str">
        <f>IFERROR(VLOOKUP(K59,【参考】数式用!$A$5:$J$27,MATCH(Q61,【参考】数式用!$B$4:$J$4,0)+1,0),"")</f>
        <v/>
      </c>
      <c r="S61" s="573" t="s">
        <v>19</v>
      </c>
      <c r="T61" s="574">
        <v>6</v>
      </c>
      <c r="U61" s="575" t="s">
        <v>10</v>
      </c>
      <c r="V61" s="110">
        <v>4</v>
      </c>
      <c r="W61" s="575" t="s">
        <v>45</v>
      </c>
      <c r="X61" s="574">
        <v>6</v>
      </c>
      <c r="Y61" s="575" t="s">
        <v>10</v>
      </c>
      <c r="Z61" s="110">
        <v>5</v>
      </c>
      <c r="AA61" s="575" t="s">
        <v>13</v>
      </c>
      <c r="AB61" s="576" t="s">
        <v>24</v>
      </c>
      <c r="AC61" s="577">
        <f t="shared" si="52"/>
        <v>2</v>
      </c>
      <c r="AD61" s="575" t="s">
        <v>38</v>
      </c>
      <c r="AE61" s="590" t="str">
        <f>IFERROR(ROUNDDOWN(ROUND(L59*R61,0)*M59,0)*AC61,"")</f>
        <v/>
      </c>
      <c r="AF61" s="579" t="str">
        <f>IFERROR(ROUNDDOWN(ROUND(L59*(R61-P61),0)*M59,0)*AC61,"")</f>
        <v/>
      </c>
      <c r="AG61" s="580">
        <f t="shared" si="66"/>
        <v>0</v>
      </c>
      <c r="AH61" s="459"/>
      <c r="AI61" s="460"/>
      <c r="AJ61" s="461"/>
      <c r="AK61" s="462"/>
      <c r="AL61" s="463"/>
      <c r="AM61" s="464"/>
      <c r="AN61" s="581" t="str">
        <f t="shared" ref="AN61" si="75">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82" t="str">
        <f>IF(K59&lt;&gt;"","P列・R列に色付け","")</f>
        <v/>
      </c>
      <c r="AQ61" s="583"/>
      <c r="AR61" s="583"/>
      <c r="AX61" s="584"/>
      <c r="AY61" s="543" t="str">
        <f>G59</f>
        <v/>
      </c>
    </row>
    <row r="62" spans="1:51" ht="32.1" customHeight="1">
      <c r="A62" s="1225">
        <v>17</v>
      </c>
      <c r="B62" s="1222" t="str">
        <f>IF(基本情報入力シート!C70="","",基本情報入力シート!C70)</f>
        <v/>
      </c>
      <c r="C62" s="1222"/>
      <c r="D62" s="1222"/>
      <c r="E62" s="1222"/>
      <c r="F62" s="1222"/>
      <c r="G62" s="1234" t="str">
        <f>IF(基本情報入力シート!M70="","",基本情報入力シート!M70)</f>
        <v/>
      </c>
      <c r="H62" s="1234" t="str">
        <f>IF(基本情報入力シート!R70="","",基本情報入力シート!R70)</f>
        <v/>
      </c>
      <c r="I62" s="1234" t="str">
        <f>IF(基本情報入力シート!W70="","",基本情報入力シート!W70)</f>
        <v/>
      </c>
      <c r="J62" s="1234" t="str">
        <f>IF(基本情報入力シート!X70="","",基本情報入力シート!X70)</f>
        <v/>
      </c>
      <c r="K62" s="1234" t="str">
        <f>IF(基本情報入力シート!Y70="","",基本情報入力シート!Y70)</f>
        <v/>
      </c>
      <c r="L62" s="1237" t="str">
        <f>IF(基本情報入力シート!AB70="","",基本情報入力シート!AB70)</f>
        <v/>
      </c>
      <c r="M62" s="1292" t="str">
        <f>IF(基本情報入力シート!AC70="","",基本情報入力シート!AC70)</f>
        <v/>
      </c>
      <c r="N62" s="547" t="s">
        <v>183</v>
      </c>
      <c r="O62" s="151"/>
      <c r="P62" s="548" t="str">
        <f>IFERROR(VLOOKUP(K62,【参考】数式用!$A$5:$J$27,MATCH(O62,【参考】数式用!$B$4:$J$4,0)+1,0),"")</f>
        <v/>
      </c>
      <c r="Q62" s="151"/>
      <c r="R62" s="548" t="str">
        <f>IFERROR(VLOOKUP(K62,【参考】数式用!$A$5:$J$27,MATCH(Q62,【参考】数式用!$B$4:$J$4,0)+1,0),"")</f>
        <v/>
      </c>
      <c r="S62" s="549" t="s">
        <v>19</v>
      </c>
      <c r="T62" s="550">
        <v>6</v>
      </c>
      <c r="U62" s="202" t="s">
        <v>10</v>
      </c>
      <c r="V62" s="71">
        <v>4</v>
      </c>
      <c r="W62" s="202" t="s">
        <v>45</v>
      </c>
      <c r="X62" s="550">
        <v>6</v>
      </c>
      <c r="Y62" s="202" t="s">
        <v>10</v>
      </c>
      <c r="Z62" s="71">
        <v>5</v>
      </c>
      <c r="AA62" s="202" t="s">
        <v>13</v>
      </c>
      <c r="AB62" s="551" t="s">
        <v>24</v>
      </c>
      <c r="AC62" s="552">
        <f t="shared" si="52"/>
        <v>2</v>
      </c>
      <c r="AD62" s="202" t="s">
        <v>38</v>
      </c>
      <c r="AE62" s="553" t="str">
        <f>IFERROR(ROUNDDOWN(ROUND(L62*R62,0)*M62,0)*AC62,"")</f>
        <v/>
      </c>
      <c r="AF62" s="554" t="str">
        <f>IFERROR(ROUNDDOWN(ROUND(L62*(R62-P62),0)*M62,0)*AC62,"")</f>
        <v/>
      </c>
      <c r="AG62" s="555"/>
      <c r="AH62" s="465"/>
      <c r="AI62" s="473"/>
      <c r="AJ62" s="470"/>
      <c r="AK62" s="471"/>
      <c r="AL62" s="451"/>
      <c r="AM62" s="452"/>
      <c r="AN62" s="556" t="str">
        <f t="shared" ref="AN62" si="76">IF(AP62="","",IF(R62&lt;P62,"！加算の要件上は問題ありませんが、令和６年３月と比較して４・５月に加算率が下がる計画になっています。",""))</f>
        <v/>
      </c>
      <c r="AP62" s="557" t="str">
        <f>IF(K62&lt;&gt;"","P列・R列に色付け","")</f>
        <v/>
      </c>
      <c r="AQ62" s="558" t="str">
        <f>IFERROR(VLOOKUP(K62,【参考】数式用!$AJ$2:$AK$24,2,FALSE),"")</f>
        <v/>
      </c>
      <c r="AR62" s="560" t="str">
        <f>Q62&amp;Q63&amp;Q64</f>
        <v/>
      </c>
      <c r="AS62" s="558" t="str">
        <f t="shared" ref="AS62" si="77">IF(AG64&lt;&gt;0,IF(AH64="○","入力済","未入力"),"")</f>
        <v/>
      </c>
      <c r="AT62" s="559" t="str">
        <f>IF(OR(Q62="処遇加算Ⅰ",Q62="処遇加算Ⅱ"),IF(OR(AI62="○",AI62="令和６年度中に満たす"),"入力済","未入力"),"")</f>
        <v/>
      </c>
      <c r="AU62" s="560" t="str">
        <f>IF(Q62="処遇加算Ⅲ",IF(AJ62="○","入力済","未入力"),"")</f>
        <v/>
      </c>
      <c r="AV62" s="558" t="str">
        <f>IF(Q62="処遇加算Ⅰ",IF(OR(AK62="○",AK62="令和６年度中に満たす"),"入力済","未入力"),"")</f>
        <v/>
      </c>
      <c r="AW62" s="558"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43" t="str">
        <f>IF(Q63="特定加算Ⅰ",IF(AM63="","未入力","入力済"),"")</f>
        <v/>
      </c>
      <c r="AY62" s="543" t="str">
        <f>G62</f>
        <v/>
      </c>
    </row>
    <row r="63" spans="1:51" ht="32.1" customHeight="1">
      <c r="A63" s="1226"/>
      <c r="B63" s="1223"/>
      <c r="C63" s="1223"/>
      <c r="D63" s="1223"/>
      <c r="E63" s="1223"/>
      <c r="F63" s="1223"/>
      <c r="G63" s="1235"/>
      <c r="H63" s="1235"/>
      <c r="I63" s="1235"/>
      <c r="J63" s="1235"/>
      <c r="K63" s="1235"/>
      <c r="L63" s="1238"/>
      <c r="M63" s="1293"/>
      <c r="N63" s="561" t="s">
        <v>170</v>
      </c>
      <c r="O63" s="152"/>
      <c r="P63" s="562" t="str">
        <f>IFERROR(VLOOKUP(K62,【参考】数式用!$A$5:$J$27,MATCH(O63,【参考】数式用!$B$4:$J$4,0)+1,0),"")</f>
        <v/>
      </c>
      <c r="Q63" s="152"/>
      <c r="R63" s="562" t="str">
        <f>IFERROR(VLOOKUP(K62,【参考】数式用!$A$5:$J$27,MATCH(Q63,【参考】数式用!$B$4:$J$4,0)+1,0),"")</f>
        <v/>
      </c>
      <c r="S63" s="173" t="s">
        <v>19</v>
      </c>
      <c r="T63" s="563">
        <v>6</v>
      </c>
      <c r="U63" s="174" t="s">
        <v>10</v>
      </c>
      <c r="V63" s="109">
        <v>4</v>
      </c>
      <c r="W63" s="174" t="s">
        <v>45</v>
      </c>
      <c r="X63" s="563">
        <v>6</v>
      </c>
      <c r="Y63" s="174" t="s">
        <v>10</v>
      </c>
      <c r="Z63" s="109">
        <v>5</v>
      </c>
      <c r="AA63" s="174" t="s">
        <v>13</v>
      </c>
      <c r="AB63" s="564" t="s">
        <v>24</v>
      </c>
      <c r="AC63" s="565">
        <f t="shared" si="52"/>
        <v>2</v>
      </c>
      <c r="AD63" s="174" t="s">
        <v>38</v>
      </c>
      <c r="AE63" s="566" t="str">
        <f>IFERROR(ROUNDDOWN(ROUND(L62*R63,0)*M62,0)*AC63,"")</f>
        <v/>
      </c>
      <c r="AF63" s="567" t="str">
        <f>IFERROR(ROUNDDOWN(ROUND(L62*(R63-P63),0)*M62,0)*AC63,"")</f>
        <v/>
      </c>
      <c r="AG63" s="568"/>
      <c r="AH63" s="453"/>
      <c r="AI63" s="454"/>
      <c r="AJ63" s="455"/>
      <c r="AK63" s="456"/>
      <c r="AL63" s="457"/>
      <c r="AM63" s="458"/>
      <c r="AN63" s="569" t="str">
        <f t="shared" ref="AN63" si="78">IF(AP62="","",IF(OR(Z62=4,Z63=4,Z64=4),"！加算の要件上は問題ありませんが、算定期間の終わりが令和６年５月になっていません。区分変更の場合は、「基本情報入力シート」で同じ事業所を２行に分けて記入してください。",""))</f>
        <v/>
      </c>
      <c r="AO63" s="570"/>
      <c r="AP63" s="557" t="str">
        <f>IF(K62&lt;&gt;"","P列・R列に色付け","")</f>
        <v/>
      </c>
      <c r="AY63" s="543" t="str">
        <f>G62</f>
        <v/>
      </c>
    </row>
    <row r="64" spans="1:51" ht="32.1" customHeight="1" thickBot="1">
      <c r="A64" s="1227"/>
      <c r="B64" s="1224"/>
      <c r="C64" s="1224"/>
      <c r="D64" s="1224"/>
      <c r="E64" s="1224"/>
      <c r="F64" s="1224"/>
      <c r="G64" s="1236"/>
      <c r="H64" s="1236"/>
      <c r="I64" s="1236"/>
      <c r="J64" s="1236"/>
      <c r="K64" s="1236"/>
      <c r="L64" s="1239"/>
      <c r="M64" s="1294"/>
      <c r="N64" s="571" t="s">
        <v>140</v>
      </c>
      <c r="O64" s="155"/>
      <c r="P64" s="591" t="str">
        <f>IFERROR(VLOOKUP(K62,【参考】数式用!$A$5:$J$27,MATCH(O64,【参考】数式用!$B$4:$J$4,0)+1,0),"")</f>
        <v/>
      </c>
      <c r="Q64" s="153"/>
      <c r="R64" s="572" t="str">
        <f>IFERROR(VLOOKUP(K62,【参考】数式用!$A$5:$J$27,MATCH(Q64,【参考】数式用!$B$4:$J$4,0)+1,0),"")</f>
        <v/>
      </c>
      <c r="S64" s="573" t="s">
        <v>19</v>
      </c>
      <c r="T64" s="574">
        <v>6</v>
      </c>
      <c r="U64" s="575" t="s">
        <v>10</v>
      </c>
      <c r="V64" s="110">
        <v>4</v>
      </c>
      <c r="W64" s="575" t="s">
        <v>45</v>
      </c>
      <c r="X64" s="574">
        <v>6</v>
      </c>
      <c r="Y64" s="575" t="s">
        <v>10</v>
      </c>
      <c r="Z64" s="110">
        <v>5</v>
      </c>
      <c r="AA64" s="575" t="s">
        <v>13</v>
      </c>
      <c r="AB64" s="576" t="s">
        <v>24</v>
      </c>
      <c r="AC64" s="577">
        <f t="shared" si="52"/>
        <v>2</v>
      </c>
      <c r="AD64" s="575" t="s">
        <v>38</v>
      </c>
      <c r="AE64" s="590" t="str">
        <f>IFERROR(ROUNDDOWN(ROUND(L62*R64,0)*M62,0)*AC64,"")</f>
        <v/>
      </c>
      <c r="AF64" s="579" t="str">
        <f>IFERROR(ROUNDDOWN(ROUND(L62*(R64-P64),0)*M62,0)*AC64,"")</f>
        <v/>
      </c>
      <c r="AG64" s="580">
        <f t="shared" si="66"/>
        <v>0</v>
      </c>
      <c r="AH64" s="459"/>
      <c r="AI64" s="460"/>
      <c r="AJ64" s="461"/>
      <c r="AK64" s="462"/>
      <c r="AL64" s="463"/>
      <c r="AM64" s="464"/>
      <c r="AN64" s="581" t="str">
        <f t="shared" ref="AN64" si="79">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82" t="str">
        <f>IF(K62&lt;&gt;"","P列・R列に色付け","")</f>
        <v/>
      </c>
      <c r="AQ64" s="583"/>
      <c r="AR64" s="583"/>
      <c r="AX64" s="584"/>
      <c r="AY64" s="543" t="str">
        <f>G62</f>
        <v/>
      </c>
    </row>
    <row r="65" spans="1:51" ht="32.1" customHeight="1">
      <c r="A65" s="1225">
        <v>18</v>
      </c>
      <c r="B65" s="1222" t="str">
        <f>IF(基本情報入力シート!C71="","",基本情報入力シート!C71)</f>
        <v/>
      </c>
      <c r="C65" s="1222"/>
      <c r="D65" s="1222"/>
      <c r="E65" s="1222"/>
      <c r="F65" s="1222"/>
      <c r="G65" s="1234" t="str">
        <f>IF(基本情報入力シート!M71="","",基本情報入力シート!M71)</f>
        <v/>
      </c>
      <c r="H65" s="1234" t="str">
        <f>IF(基本情報入力シート!R71="","",基本情報入力シート!R71)</f>
        <v/>
      </c>
      <c r="I65" s="1234" t="str">
        <f>IF(基本情報入力シート!W71="","",基本情報入力シート!W71)</f>
        <v/>
      </c>
      <c r="J65" s="1234" t="str">
        <f>IF(基本情報入力シート!X71="","",基本情報入力シート!X71)</f>
        <v/>
      </c>
      <c r="K65" s="1234" t="str">
        <f>IF(基本情報入力シート!Y71="","",基本情報入力シート!Y71)</f>
        <v/>
      </c>
      <c r="L65" s="1237" t="str">
        <f>IF(基本情報入力シート!AB71="","",基本情報入力シート!AB71)</f>
        <v/>
      </c>
      <c r="M65" s="1292" t="str">
        <f>IF(基本情報入力シート!AC71="","",基本情報入力シート!AC71)</f>
        <v/>
      </c>
      <c r="N65" s="547" t="s">
        <v>183</v>
      </c>
      <c r="O65" s="151"/>
      <c r="P65" s="548" t="str">
        <f>IFERROR(VLOOKUP(K65,【参考】数式用!$A$5:$J$27,MATCH(O65,【参考】数式用!$B$4:$J$4,0)+1,0),"")</f>
        <v/>
      </c>
      <c r="Q65" s="151"/>
      <c r="R65" s="548" t="str">
        <f>IFERROR(VLOOKUP(K65,【参考】数式用!$A$5:$J$27,MATCH(Q65,【参考】数式用!$B$4:$J$4,0)+1,0),"")</f>
        <v/>
      </c>
      <c r="S65" s="549" t="s">
        <v>19</v>
      </c>
      <c r="T65" s="550">
        <v>6</v>
      </c>
      <c r="U65" s="202" t="s">
        <v>10</v>
      </c>
      <c r="V65" s="71">
        <v>4</v>
      </c>
      <c r="W65" s="202" t="s">
        <v>45</v>
      </c>
      <c r="X65" s="550">
        <v>6</v>
      </c>
      <c r="Y65" s="202" t="s">
        <v>10</v>
      </c>
      <c r="Z65" s="71">
        <v>5</v>
      </c>
      <c r="AA65" s="202" t="s">
        <v>13</v>
      </c>
      <c r="AB65" s="551" t="s">
        <v>24</v>
      </c>
      <c r="AC65" s="552">
        <f t="shared" si="52"/>
        <v>2</v>
      </c>
      <c r="AD65" s="202" t="s">
        <v>38</v>
      </c>
      <c r="AE65" s="553" t="str">
        <f>IFERROR(ROUNDDOWN(ROUND(L65*R65,0)*M65,0)*AC65,"")</f>
        <v/>
      </c>
      <c r="AF65" s="554" t="str">
        <f>IFERROR(ROUNDDOWN(ROUND(L65*(R65-P65),0)*M65,0)*AC65,"")</f>
        <v/>
      </c>
      <c r="AG65" s="555"/>
      <c r="AH65" s="465"/>
      <c r="AI65" s="473"/>
      <c r="AJ65" s="470"/>
      <c r="AK65" s="471"/>
      <c r="AL65" s="451"/>
      <c r="AM65" s="452"/>
      <c r="AN65" s="556" t="str">
        <f t="shared" ref="AN65" si="80">IF(AP65="","",IF(R65&lt;P65,"！加算の要件上は問題ありませんが、令和６年３月と比較して４・５月に加算率が下がる計画になっています。",""))</f>
        <v/>
      </c>
      <c r="AP65" s="557" t="str">
        <f>IF(K65&lt;&gt;"","P列・R列に色付け","")</f>
        <v/>
      </c>
      <c r="AQ65" s="558" t="str">
        <f>IFERROR(VLOOKUP(K65,【参考】数式用!$AJ$2:$AK$24,2,FALSE),"")</f>
        <v/>
      </c>
      <c r="AR65" s="560" t="str">
        <f>Q65&amp;Q66&amp;Q67</f>
        <v/>
      </c>
      <c r="AS65" s="558" t="str">
        <f t="shared" ref="AS65" si="81">IF(AG67&lt;&gt;0,IF(AH67="○","入力済","未入力"),"")</f>
        <v/>
      </c>
      <c r="AT65" s="559" t="str">
        <f>IF(OR(Q65="処遇加算Ⅰ",Q65="処遇加算Ⅱ"),IF(OR(AI65="○",AI65="令和６年度中に満たす"),"入力済","未入力"),"")</f>
        <v/>
      </c>
      <c r="AU65" s="560" t="str">
        <f>IF(Q65="処遇加算Ⅲ",IF(AJ65="○","入力済","未入力"),"")</f>
        <v/>
      </c>
      <c r="AV65" s="558" t="str">
        <f>IF(Q65="処遇加算Ⅰ",IF(OR(AK65="○",AK65="令和６年度中に満たす"),"入力済","未入力"),"")</f>
        <v/>
      </c>
      <c r="AW65" s="558"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43" t="str">
        <f>IF(Q66="特定加算Ⅰ",IF(AM66="","未入力","入力済"),"")</f>
        <v/>
      </c>
      <c r="AY65" s="543" t="str">
        <f>G65</f>
        <v/>
      </c>
    </row>
    <row r="66" spans="1:51" ht="32.1" customHeight="1">
      <c r="A66" s="1226"/>
      <c r="B66" s="1223"/>
      <c r="C66" s="1223"/>
      <c r="D66" s="1223"/>
      <c r="E66" s="1223"/>
      <c r="F66" s="1223"/>
      <c r="G66" s="1235"/>
      <c r="H66" s="1235"/>
      <c r="I66" s="1235"/>
      <c r="J66" s="1235"/>
      <c r="K66" s="1235"/>
      <c r="L66" s="1238"/>
      <c r="M66" s="1293"/>
      <c r="N66" s="561" t="s">
        <v>170</v>
      </c>
      <c r="O66" s="152"/>
      <c r="P66" s="562" t="str">
        <f>IFERROR(VLOOKUP(K65,【参考】数式用!$A$5:$J$27,MATCH(O66,【参考】数式用!$B$4:$J$4,0)+1,0),"")</f>
        <v/>
      </c>
      <c r="Q66" s="152"/>
      <c r="R66" s="562" t="str">
        <f>IFERROR(VLOOKUP(K65,【参考】数式用!$A$5:$J$27,MATCH(Q66,【参考】数式用!$B$4:$J$4,0)+1,0),"")</f>
        <v/>
      </c>
      <c r="S66" s="173" t="s">
        <v>19</v>
      </c>
      <c r="T66" s="563">
        <v>6</v>
      </c>
      <c r="U66" s="174" t="s">
        <v>10</v>
      </c>
      <c r="V66" s="109">
        <v>4</v>
      </c>
      <c r="W66" s="174" t="s">
        <v>45</v>
      </c>
      <c r="X66" s="563">
        <v>6</v>
      </c>
      <c r="Y66" s="174" t="s">
        <v>10</v>
      </c>
      <c r="Z66" s="109">
        <v>5</v>
      </c>
      <c r="AA66" s="174" t="s">
        <v>13</v>
      </c>
      <c r="AB66" s="564" t="s">
        <v>24</v>
      </c>
      <c r="AC66" s="565">
        <f t="shared" si="52"/>
        <v>2</v>
      </c>
      <c r="AD66" s="174" t="s">
        <v>38</v>
      </c>
      <c r="AE66" s="566" t="str">
        <f>IFERROR(ROUNDDOWN(ROUND(L65*R66,0)*M65,0)*AC66,"")</f>
        <v/>
      </c>
      <c r="AF66" s="567" t="str">
        <f>IFERROR(ROUNDDOWN(ROUND(L65*(R66-P66),0)*M65,0)*AC66,"")</f>
        <v/>
      </c>
      <c r="AG66" s="568"/>
      <c r="AH66" s="453"/>
      <c r="AI66" s="454"/>
      <c r="AJ66" s="455"/>
      <c r="AK66" s="456"/>
      <c r="AL66" s="457"/>
      <c r="AM66" s="458"/>
      <c r="AN66" s="569" t="str">
        <f t="shared" ref="AN66" si="82">IF(AP65="","",IF(OR(Z65=4,Z66=4,Z67=4),"！加算の要件上は問題ありませんが、算定期間の終わりが令和６年５月になっていません。区分変更の場合は、「基本情報入力シート」で同じ事業所を２行に分けて記入してください。",""))</f>
        <v/>
      </c>
      <c r="AO66" s="570"/>
      <c r="AP66" s="557" t="str">
        <f>IF(K65&lt;&gt;"","P列・R列に色付け","")</f>
        <v/>
      </c>
      <c r="AY66" s="543" t="str">
        <f>G65</f>
        <v/>
      </c>
    </row>
    <row r="67" spans="1:51" ht="32.1" customHeight="1" thickBot="1">
      <c r="A67" s="1227"/>
      <c r="B67" s="1224"/>
      <c r="C67" s="1224"/>
      <c r="D67" s="1224"/>
      <c r="E67" s="1224"/>
      <c r="F67" s="1224"/>
      <c r="G67" s="1236"/>
      <c r="H67" s="1236"/>
      <c r="I67" s="1236"/>
      <c r="J67" s="1236"/>
      <c r="K67" s="1236"/>
      <c r="L67" s="1239"/>
      <c r="M67" s="1294"/>
      <c r="N67" s="571" t="s">
        <v>140</v>
      </c>
      <c r="O67" s="155"/>
      <c r="P67" s="591" t="str">
        <f>IFERROR(VLOOKUP(K65,【参考】数式用!$A$5:$J$27,MATCH(O67,【参考】数式用!$B$4:$J$4,0)+1,0),"")</f>
        <v/>
      </c>
      <c r="Q67" s="153"/>
      <c r="R67" s="572" t="str">
        <f>IFERROR(VLOOKUP(K65,【参考】数式用!$A$5:$J$27,MATCH(Q67,【参考】数式用!$B$4:$J$4,0)+1,0),"")</f>
        <v/>
      </c>
      <c r="S67" s="573" t="s">
        <v>19</v>
      </c>
      <c r="T67" s="574">
        <v>6</v>
      </c>
      <c r="U67" s="575" t="s">
        <v>10</v>
      </c>
      <c r="V67" s="110">
        <v>4</v>
      </c>
      <c r="W67" s="575" t="s">
        <v>45</v>
      </c>
      <c r="X67" s="574">
        <v>6</v>
      </c>
      <c r="Y67" s="575" t="s">
        <v>10</v>
      </c>
      <c r="Z67" s="110">
        <v>5</v>
      </c>
      <c r="AA67" s="575" t="s">
        <v>13</v>
      </c>
      <c r="AB67" s="576" t="s">
        <v>24</v>
      </c>
      <c r="AC67" s="577">
        <f t="shared" si="52"/>
        <v>2</v>
      </c>
      <c r="AD67" s="575" t="s">
        <v>38</v>
      </c>
      <c r="AE67" s="590" t="str">
        <f>IFERROR(ROUNDDOWN(ROUND(L65*R67,0)*M65,0)*AC67,"")</f>
        <v/>
      </c>
      <c r="AF67" s="579" t="str">
        <f>IFERROR(ROUNDDOWN(ROUND(L65*(R67-P67),0)*M65,0)*AC67,"")</f>
        <v/>
      </c>
      <c r="AG67" s="580">
        <f t="shared" si="66"/>
        <v>0</v>
      </c>
      <c r="AH67" s="459"/>
      <c r="AI67" s="460"/>
      <c r="AJ67" s="461"/>
      <c r="AK67" s="462"/>
      <c r="AL67" s="463"/>
      <c r="AM67" s="464"/>
      <c r="AN67" s="581" t="str">
        <f t="shared" ref="AN67" si="83">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82" t="str">
        <f>IF(K65&lt;&gt;"","P列・R列に色付け","")</f>
        <v/>
      </c>
      <c r="AQ67" s="583"/>
      <c r="AR67" s="583"/>
      <c r="AX67" s="584"/>
      <c r="AY67" s="543" t="str">
        <f>G65</f>
        <v/>
      </c>
    </row>
    <row r="68" spans="1:51" ht="32.1" customHeight="1">
      <c r="A68" s="1225">
        <v>19</v>
      </c>
      <c r="B68" s="1222" t="str">
        <f>IF(基本情報入力シート!C72="","",基本情報入力シート!C72)</f>
        <v/>
      </c>
      <c r="C68" s="1222"/>
      <c r="D68" s="1222"/>
      <c r="E68" s="1222"/>
      <c r="F68" s="1222"/>
      <c r="G68" s="1234" t="str">
        <f>IF(基本情報入力シート!M72="","",基本情報入力シート!M72)</f>
        <v/>
      </c>
      <c r="H68" s="1234" t="str">
        <f>IF(基本情報入力シート!R72="","",基本情報入力シート!R72)</f>
        <v/>
      </c>
      <c r="I68" s="1234" t="str">
        <f>IF(基本情報入力シート!W72="","",基本情報入力シート!W72)</f>
        <v/>
      </c>
      <c r="J68" s="1234" t="str">
        <f>IF(基本情報入力シート!X72="","",基本情報入力シート!X72)</f>
        <v/>
      </c>
      <c r="K68" s="1234" t="str">
        <f>IF(基本情報入力シート!Y72="","",基本情報入力シート!Y72)</f>
        <v/>
      </c>
      <c r="L68" s="1237" t="str">
        <f>IF(基本情報入力シート!AB72="","",基本情報入力シート!AB72)</f>
        <v/>
      </c>
      <c r="M68" s="1292" t="str">
        <f>IF(基本情報入力シート!AC72="","",基本情報入力シート!AC72)</f>
        <v/>
      </c>
      <c r="N68" s="547" t="s">
        <v>183</v>
      </c>
      <c r="O68" s="151"/>
      <c r="P68" s="548" t="str">
        <f>IFERROR(VLOOKUP(K68,【参考】数式用!$A$5:$J$27,MATCH(O68,【参考】数式用!$B$4:$J$4,0)+1,0),"")</f>
        <v/>
      </c>
      <c r="Q68" s="151"/>
      <c r="R68" s="548" t="str">
        <f>IFERROR(VLOOKUP(K68,【参考】数式用!$A$5:$J$27,MATCH(Q68,【参考】数式用!$B$4:$J$4,0)+1,0),"")</f>
        <v/>
      </c>
      <c r="S68" s="549" t="s">
        <v>19</v>
      </c>
      <c r="T68" s="550">
        <v>6</v>
      </c>
      <c r="U68" s="202" t="s">
        <v>10</v>
      </c>
      <c r="V68" s="71">
        <v>4</v>
      </c>
      <c r="W68" s="202" t="s">
        <v>45</v>
      </c>
      <c r="X68" s="550">
        <v>6</v>
      </c>
      <c r="Y68" s="202" t="s">
        <v>10</v>
      </c>
      <c r="Z68" s="71">
        <v>5</v>
      </c>
      <c r="AA68" s="202" t="s">
        <v>13</v>
      </c>
      <c r="AB68" s="551" t="s">
        <v>24</v>
      </c>
      <c r="AC68" s="552">
        <f t="shared" si="52"/>
        <v>2</v>
      </c>
      <c r="AD68" s="202" t="s">
        <v>38</v>
      </c>
      <c r="AE68" s="553" t="str">
        <f>IFERROR(ROUNDDOWN(ROUND(L68*R68,0)*M68,0)*AC68,"")</f>
        <v/>
      </c>
      <c r="AF68" s="554" t="str">
        <f>IFERROR(ROUNDDOWN(ROUND(L68*(R68-P68),0)*M68,0)*AC68,"")</f>
        <v/>
      </c>
      <c r="AG68" s="555"/>
      <c r="AH68" s="465"/>
      <c r="AI68" s="473"/>
      <c r="AJ68" s="470"/>
      <c r="AK68" s="471"/>
      <c r="AL68" s="451"/>
      <c r="AM68" s="452"/>
      <c r="AN68" s="556" t="str">
        <f t="shared" ref="AN68" si="84">IF(AP68="","",IF(R68&lt;P68,"！加算の要件上は問題ありませんが、令和６年３月と比較して４・５月に加算率が下がる計画になっています。",""))</f>
        <v/>
      </c>
      <c r="AP68" s="557" t="str">
        <f>IF(K68&lt;&gt;"","P列・R列に色付け","")</f>
        <v/>
      </c>
      <c r="AQ68" s="558" t="str">
        <f>IFERROR(VLOOKUP(K68,【参考】数式用!$AJ$2:$AK$24,2,FALSE),"")</f>
        <v/>
      </c>
      <c r="AR68" s="560" t="str">
        <f>Q68&amp;Q69&amp;Q70</f>
        <v/>
      </c>
      <c r="AS68" s="558" t="str">
        <f t="shared" ref="AS68" si="85">IF(AG70&lt;&gt;0,IF(AH70="○","入力済","未入力"),"")</f>
        <v/>
      </c>
      <c r="AT68" s="559" t="str">
        <f>IF(OR(Q68="処遇加算Ⅰ",Q68="処遇加算Ⅱ"),IF(OR(AI68="○",AI68="令和６年度中に満たす"),"入力済","未入力"),"")</f>
        <v/>
      </c>
      <c r="AU68" s="560" t="str">
        <f>IF(Q68="処遇加算Ⅲ",IF(AJ68="○","入力済","未入力"),"")</f>
        <v/>
      </c>
      <c r="AV68" s="558" t="str">
        <f>IF(Q68="処遇加算Ⅰ",IF(OR(AK68="○",AK68="令和６年度中に満たす"),"入力済","未入力"),"")</f>
        <v/>
      </c>
      <c r="AW68" s="558"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43" t="str">
        <f>IF(Q69="特定加算Ⅰ",IF(AM69="","未入力","入力済"),"")</f>
        <v/>
      </c>
      <c r="AY68" s="543" t="str">
        <f>G68</f>
        <v/>
      </c>
    </row>
    <row r="69" spans="1:51" ht="32.1" customHeight="1">
      <c r="A69" s="1226"/>
      <c r="B69" s="1223"/>
      <c r="C69" s="1223"/>
      <c r="D69" s="1223"/>
      <c r="E69" s="1223"/>
      <c r="F69" s="1223"/>
      <c r="G69" s="1235"/>
      <c r="H69" s="1235"/>
      <c r="I69" s="1235"/>
      <c r="J69" s="1235"/>
      <c r="K69" s="1235"/>
      <c r="L69" s="1238"/>
      <c r="M69" s="1293"/>
      <c r="N69" s="561" t="s">
        <v>170</v>
      </c>
      <c r="O69" s="152"/>
      <c r="P69" s="562" t="str">
        <f>IFERROR(VLOOKUP(K68,【参考】数式用!$A$5:$J$27,MATCH(O69,【参考】数式用!$B$4:$J$4,0)+1,0),"")</f>
        <v/>
      </c>
      <c r="Q69" s="152"/>
      <c r="R69" s="562" t="str">
        <f>IFERROR(VLOOKUP(K68,【参考】数式用!$A$5:$J$27,MATCH(Q69,【参考】数式用!$B$4:$J$4,0)+1,0),"")</f>
        <v/>
      </c>
      <c r="S69" s="173" t="s">
        <v>19</v>
      </c>
      <c r="T69" s="563">
        <v>6</v>
      </c>
      <c r="U69" s="174" t="s">
        <v>10</v>
      </c>
      <c r="V69" s="109">
        <v>4</v>
      </c>
      <c r="W69" s="174" t="s">
        <v>45</v>
      </c>
      <c r="X69" s="563">
        <v>6</v>
      </c>
      <c r="Y69" s="174" t="s">
        <v>10</v>
      </c>
      <c r="Z69" s="109">
        <v>5</v>
      </c>
      <c r="AA69" s="174" t="s">
        <v>13</v>
      </c>
      <c r="AB69" s="564" t="s">
        <v>24</v>
      </c>
      <c r="AC69" s="565">
        <f t="shared" si="52"/>
        <v>2</v>
      </c>
      <c r="AD69" s="174" t="s">
        <v>38</v>
      </c>
      <c r="AE69" s="566" t="str">
        <f>IFERROR(ROUNDDOWN(ROUND(L68*R69,0)*M68,0)*AC69,"")</f>
        <v/>
      </c>
      <c r="AF69" s="567" t="str">
        <f>IFERROR(ROUNDDOWN(ROUND(L68*(R69-P69),0)*M68,0)*AC69,"")</f>
        <v/>
      </c>
      <c r="AG69" s="568"/>
      <c r="AH69" s="453"/>
      <c r="AI69" s="454"/>
      <c r="AJ69" s="455"/>
      <c r="AK69" s="456"/>
      <c r="AL69" s="457"/>
      <c r="AM69" s="458"/>
      <c r="AN69" s="569" t="str">
        <f t="shared" ref="AN69" si="86">IF(AP68="","",IF(OR(Z68=4,Z69=4,Z70=4),"！加算の要件上は問題ありませんが、算定期間の終わりが令和６年５月になっていません。区分変更の場合は、「基本情報入力シート」で同じ事業所を２行に分けて記入してください。",""))</f>
        <v/>
      </c>
      <c r="AO69" s="570"/>
      <c r="AP69" s="557" t="str">
        <f>IF(K68&lt;&gt;"","P列・R列に色付け","")</f>
        <v/>
      </c>
      <c r="AY69" s="543" t="str">
        <f>G68</f>
        <v/>
      </c>
    </row>
    <row r="70" spans="1:51" ht="32.1" customHeight="1" thickBot="1">
      <c r="A70" s="1227"/>
      <c r="B70" s="1224"/>
      <c r="C70" s="1224"/>
      <c r="D70" s="1224"/>
      <c r="E70" s="1224"/>
      <c r="F70" s="1224"/>
      <c r="G70" s="1236"/>
      <c r="H70" s="1236"/>
      <c r="I70" s="1236"/>
      <c r="J70" s="1236"/>
      <c r="K70" s="1236"/>
      <c r="L70" s="1239"/>
      <c r="M70" s="1294"/>
      <c r="N70" s="571" t="s">
        <v>140</v>
      </c>
      <c r="O70" s="155"/>
      <c r="P70" s="591" t="str">
        <f>IFERROR(VLOOKUP(K68,【参考】数式用!$A$5:$J$27,MATCH(O70,【参考】数式用!$B$4:$J$4,0)+1,0),"")</f>
        <v/>
      </c>
      <c r="Q70" s="153"/>
      <c r="R70" s="572" t="str">
        <f>IFERROR(VLOOKUP(K68,【参考】数式用!$A$5:$J$27,MATCH(Q70,【参考】数式用!$B$4:$J$4,0)+1,0),"")</f>
        <v/>
      </c>
      <c r="S70" s="573" t="s">
        <v>19</v>
      </c>
      <c r="T70" s="574">
        <v>6</v>
      </c>
      <c r="U70" s="575" t="s">
        <v>10</v>
      </c>
      <c r="V70" s="110">
        <v>4</v>
      </c>
      <c r="W70" s="575" t="s">
        <v>45</v>
      </c>
      <c r="X70" s="574">
        <v>6</v>
      </c>
      <c r="Y70" s="575" t="s">
        <v>10</v>
      </c>
      <c r="Z70" s="110">
        <v>5</v>
      </c>
      <c r="AA70" s="575" t="s">
        <v>13</v>
      </c>
      <c r="AB70" s="576" t="s">
        <v>24</v>
      </c>
      <c r="AC70" s="577">
        <f t="shared" si="52"/>
        <v>2</v>
      </c>
      <c r="AD70" s="575" t="s">
        <v>38</v>
      </c>
      <c r="AE70" s="590" t="str">
        <f>IFERROR(ROUNDDOWN(ROUND(L68*R70,0)*M68,0)*AC70,"")</f>
        <v/>
      </c>
      <c r="AF70" s="579" t="str">
        <f>IFERROR(ROUNDDOWN(ROUND(L68*(R70-P70),0)*M68,0)*AC70,"")</f>
        <v/>
      </c>
      <c r="AG70" s="580">
        <f t="shared" si="66"/>
        <v>0</v>
      </c>
      <c r="AH70" s="459"/>
      <c r="AI70" s="460"/>
      <c r="AJ70" s="461"/>
      <c r="AK70" s="462"/>
      <c r="AL70" s="463"/>
      <c r="AM70" s="464"/>
      <c r="AN70" s="581" t="str">
        <f t="shared" ref="AN70" si="87">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82" t="str">
        <f>IF(K68&lt;&gt;"","P列・R列に色付け","")</f>
        <v/>
      </c>
      <c r="AQ70" s="583"/>
      <c r="AR70" s="583"/>
      <c r="AX70" s="584"/>
      <c r="AY70" s="543" t="str">
        <f>G68</f>
        <v/>
      </c>
    </row>
    <row r="71" spans="1:51" ht="32.1" customHeight="1">
      <c r="A71" s="1225">
        <v>20</v>
      </c>
      <c r="B71" s="1222" t="str">
        <f>IF(基本情報入力シート!C73="","",基本情報入力シート!C73)</f>
        <v/>
      </c>
      <c r="C71" s="1222"/>
      <c r="D71" s="1222"/>
      <c r="E71" s="1222"/>
      <c r="F71" s="1222"/>
      <c r="G71" s="1234" t="str">
        <f>IF(基本情報入力シート!M73="","",基本情報入力シート!M73)</f>
        <v/>
      </c>
      <c r="H71" s="1234" t="str">
        <f>IF(基本情報入力シート!R73="","",基本情報入力シート!R73)</f>
        <v/>
      </c>
      <c r="I71" s="1234" t="str">
        <f>IF(基本情報入力シート!W73="","",基本情報入力シート!W73)</f>
        <v/>
      </c>
      <c r="J71" s="1234" t="str">
        <f>IF(基本情報入力シート!X73="","",基本情報入力シート!X73)</f>
        <v/>
      </c>
      <c r="K71" s="1234" t="str">
        <f>IF(基本情報入力シート!Y73="","",基本情報入力シート!Y73)</f>
        <v/>
      </c>
      <c r="L71" s="1237" t="str">
        <f>IF(基本情報入力シート!AB73="","",基本情報入力シート!AB73)</f>
        <v/>
      </c>
      <c r="M71" s="1292" t="str">
        <f>IF(基本情報入力シート!AC73="","",基本情報入力シート!AC73)</f>
        <v/>
      </c>
      <c r="N71" s="547" t="s">
        <v>183</v>
      </c>
      <c r="O71" s="151"/>
      <c r="P71" s="548" t="str">
        <f>IFERROR(VLOOKUP(K71,【参考】数式用!$A$5:$J$27,MATCH(O71,【参考】数式用!$B$4:$J$4,0)+1,0),"")</f>
        <v/>
      </c>
      <c r="Q71" s="151"/>
      <c r="R71" s="548" t="str">
        <f>IFERROR(VLOOKUP(K71,【参考】数式用!$A$5:$J$27,MATCH(Q71,【参考】数式用!$B$4:$J$4,0)+1,0),"")</f>
        <v/>
      </c>
      <c r="S71" s="549" t="s">
        <v>19</v>
      </c>
      <c r="T71" s="550">
        <v>6</v>
      </c>
      <c r="U71" s="202" t="s">
        <v>10</v>
      </c>
      <c r="V71" s="71">
        <v>4</v>
      </c>
      <c r="W71" s="202" t="s">
        <v>45</v>
      </c>
      <c r="X71" s="550">
        <v>6</v>
      </c>
      <c r="Y71" s="202" t="s">
        <v>10</v>
      </c>
      <c r="Z71" s="71">
        <v>5</v>
      </c>
      <c r="AA71" s="202" t="s">
        <v>13</v>
      </c>
      <c r="AB71" s="551" t="s">
        <v>24</v>
      </c>
      <c r="AC71" s="552">
        <f t="shared" si="52"/>
        <v>2</v>
      </c>
      <c r="AD71" s="202" t="s">
        <v>38</v>
      </c>
      <c r="AE71" s="553" t="str">
        <f>IFERROR(ROUNDDOWN(ROUND(L71*R71,0)*M71,0)*AC71,"")</f>
        <v/>
      </c>
      <c r="AF71" s="554" t="str">
        <f>IFERROR(ROUNDDOWN(ROUND(L71*(R71-P71),0)*M71,0)*AC71,"")</f>
        <v/>
      </c>
      <c r="AG71" s="555"/>
      <c r="AH71" s="465"/>
      <c r="AI71" s="473"/>
      <c r="AJ71" s="470"/>
      <c r="AK71" s="471"/>
      <c r="AL71" s="451"/>
      <c r="AM71" s="452"/>
      <c r="AN71" s="556" t="str">
        <f t="shared" ref="AN71" si="88">IF(AP71="","",IF(R71&lt;P71,"！加算の要件上は問題ありませんが、令和６年３月と比較して４・５月に加算率が下がる計画になっています。",""))</f>
        <v/>
      </c>
      <c r="AP71" s="557" t="str">
        <f>IF(K71&lt;&gt;"","P列・R列に色付け","")</f>
        <v/>
      </c>
      <c r="AQ71" s="558" t="str">
        <f>IFERROR(VLOOKUP(K71,【参考】数式用!$AJ$2:$AK$24,2,FALSE),"")</f>
        <v/>
      </c>
      <c r="AR71" s="560" t="str">
        <f>Q71&amp;Q72&amp;Q73</f>
        <v/>
      </c>
      <c r="AS71" s="558" t="str">
        <f t="shared" ref="AS71" si="89">IF(AG73&lt;&gt;0,IF(AH73="○","入力済","未入力"),"")</f>
        <v/>
      </c>
      <c r="AT71" s="559" t="str">
        <f>IF(OR(Q71="処遇加算Ⅰ",Q71="処遇加算Ⅱ"),IF(OR(AI71="○",AI71="令和６年度中に満たす"),"入力済","未入力"),"")</f>
        <v/>
      </c>
      <c r="AU71" s="560" t="str">
        <f>IF(Q71="処遇加算Ⅲ",IF(AJ71="○","入力済","未入力"),"")</f>
        <v/>
      </c>
      <c r="AV71" s="558" t="str">
        <f>IF(Q71="処遇加算Ⅰ",IF(OR(AK71="○",AK71="令和６年度中に満たす"),"入力済","未入力"),"")</f>
        <v/>
      </c>
      <c r="AW71" s="558"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43" t="str">
        <f>IF(Q72="特定加算Ⅰ",IF(AM72="","未入力","入力済"),"")</f>
        <v/>
      </c>
      <c r="AY71" s="543" t="str">
        <f>G71</f>
        <v/>
      </c>
    </row>
    <row r="72" spans="1:51" ht="32.1" customHeight="1">
      <c r="A72" s="1226"/>
      <c r="B72" s="1223"/>
      <c r="C72" s="1223"/>
      <c r="D72" s="1223"/>
      <c r="E72" s="1223"/>
      <c r="F72" s="1223"/>
      <c r="G72" s="1235"/>
      <c r="H72" s="1235"/>
      <c r="I72" s="1235"/>
      <c r="J72" s="1235"/>
      <c r="K72" s="1235"/>
      <c r="L72" s="1238"/>
      <c r="M72" s="1293"/>
      <c r="N72" s="561" t="s">
        <v>170</v>
      </c>
      <c r="O72" s="152"/>
      <c r="P72" s="562" t="str">
        <f>IFERROR(VLOOKUP(K71,【参考】数式用!$A$5:$J$27,MATCH(O72,【参考】数式用!$B$4:$J$4,0)+1,0),"")</f>
        <v/>
      </c>
      <c r="Q72" s="152"/>
      <c r="R72" s="562" t="str">
        <f>IFERROR(VLOOKUP(K71,【参考】数式用!$A$5:$J$27,MATCH(Q72,【参考】数式用!$B$4:$J$4,0)+1,0),"")</f>
        <v/>
      </c>
      <c r="S72" s="173" t="s">
        <v>19</v>
      </c>
      <c r="T72" s="563">
        <v>6</v>
      </c>
      <c r="U72" s="174" t="s">
        <v>10</v>
      </c>
      <c r="V72" s="109">
        <v>4</v>
      </c>
      <c r="W72" s="174" t="s">
        <v>45</v>
      </c>
      <c r="X72" s="563">
        <v>6</v>
      </c>
      <c r="Y72" s="174" t="s">
        <v>10</v>
      </c>
      <c r="Z72" s="109">
        <v>5</v>
      </c>
      <c r="AA72" s="174" t="s">
        <v>13</v>
      </c>
      <c r="AB72" s="564" t="s">
        <v>24</v>
      </c>
      <c r="AC72" s="565">
        <f t="shared" si="52"/>
        <v>2</v>
      </c>
      <c r="AD72" s="174" t="s">
        <v>38</v>
      </c>
      <c r="AE72" s="566" t="str">
        <f>IFERROR(ROUNDDOWN(ROUND(L71*R72,0)*M71,0)*AC72,"")</f>
        <v/>
      </c>
      <c r="AF72" s="567" t="str">
        <f>IFERROR(ROUNDDOWN(ROUND(L71*(R72-P72),0)*M71,0)*AC72,"")</f>
        <v/>
      </c>
      <c r="AG72" s="568"/>
      <c r="AH72" s="453"/>
      <c r="AI72" s="454"/>
      <c r="AJ72" s="455"/>
      <c r="AK72" s="456"/>
      <c r="AL72" s="457"/>
      <c r="AM72" s="458"/>
      <c r="AN72" s="569" t="str">
        <f t="shared" ref="AN72" si="90">IF(AP71="","",IF(OR(Z71=4,Z72=4,Z73=4),"！加算の要件上は問題ありませんが、算定期間の終わりが令和６年５月になっていません。区分変更の場合は、「基本情報入力シート」で同じ事業所を２行に分けて記入してください。",""))</f>
        <v/>
      </c>
      <c r="AO72" s="570"/>
      <c r="AP72" s="557" t="str">
        <f>IF(K71&lt;&gt;"","P列・R列に色付け","")</f>
        <v/>
      </c>
      <c r="AY72" s="543" t="str">
        <f>G71</f>
        <v/>
      </c>
    </row>
    <row r="73" spans="1:51" ht="32.1" customHeight="1" thickBot="1">
      <c r="A73" s="1227"/>
      <c r="B73" s="1224"/>
      <c r="C73" s="1224"/>
      <c r="D73" s="1224"/>
      <c r="E73" s="1224"/>
      <c r="F73" s="1224"/>
      <c r="G73" s="1236"/>
      <c r="H73" s="1236"/>
      <c r="I73" s="1236"/>
      <c r="J73" s="1236"/>
      <c r="K73" s="1236"/>
      <c r="L73" s="1239"/>
      <c r="M73" s="1294"/>
      <c r="N73" s="571" t="s">
        <v>140</v>
      </c>
      <c r="O73" s="155"/>
      <c r="P73" s="591" t="str">
        <f>IFERROR(VLOOKUP(K71,【参考】数式用!$A$5:$J$27,MATCH(O73,【参考】数式用!$B$4:$J$4,0)+1,0),"")</f>
        <v/>
      </c>
      <c r="Q73" s="153"/>
      <c r="R73" s="572" t="str">
        <f>IFERROR(VLOOKUP(K71,【参考】数式用!$A$5:$J$27,MATCH(Q73,【参考】数式用!$B$4:$J$4,0)+1,0),"")</f>
        <v/>
      </c>
      <c r="S73" s="573" t="s">
        <v>19</v>
      </c>
      <c r="T73" s="574">
        <v>6</v>
      </c>
      <c r="U73" s="575" t="s">
        <v>10</v>
      </c>
      <c r="V73" s="110">
        <v>4</v>
      </c>
      <c r="W73" s="575" t="s">
        <v>45</v>
      </c>
      <c r="X73" s="574">
        <v>6</v>
      </c>
      <c r="Y73" s="575" t="s">
        <v>10</v>
      </c>
      <c r="Z73" s="110">
        <v>5</v>
      </c>
      <c r="AA73" s="575" t="s">
        <v>13</v>
      </c>
      <c r="AB73" s="576" t="s">
        <v>24</v>
      </c>
      <c r="AC73" s="577">
        <f t="shared" si="52"/>
        <v>2</v>
      </c>
      <c r="AD73" s="575" t="s">
        <v>38</v>
      </c>
      <c r="AE73" s="590" t="str">
        <f>IFERROR(ROUNDDOWN(ROUND(L71*R73,0)*M71,0)*AC73,"")</f>
        <v/>
      </c>
      <c r="AF73" s="579" t="str">
        <f>IFERROR(ROUNDDOWN(ROUND(L71*(R73-P73),0)*M71,0)*AC73,"")</f>
        <v/>
      </c>
      <c r="AG73" s="580">
        <f t="shared" si="66"/>
        <v>0</v>
      </c>
      <c r="AH73" s="459"/>
      <c r="AI73" s="460"/>
      <c r="AJ73" s="461"/>
      <c r="AK73" s="462"/>
      <c r="AL73" s="463"/>
      <c r="AM73" s="464"/>
      <c r="AN73" s="581" t="str">
        <f t="shared" ref="AN73" si="91">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82" t="str">
        <f>IF(K71&lt;&gt;"","P列・R列に色付け","")</f>
        <v/>
      </c>
      <c r="AQ73" s="583"/>
      <c r="AR73" s="583"/>
      <c r="AX73" s="584"/>
      <c r="AY73" s="543" t="str">
        <f>G71</f>
        <v/>
      </c>
    </row>
    <row r="74" spans="1:51" ht="32.1" customHeight="1">
      <c r="A74" s="1225">
        <v>21</v>
      </c>
      <c r="B74" s="1222" t="str">
        <f>IF(基本情報入力シート!C74="","",基本情報入力シート!C74)</f>
        <v/>
      </c>
      <c r="C74" s="1222"/>
      <c r="D74" s="1222"/>
      <c r="E74" s="1222"/>
      <c r="F74" s="1222"/>
      <c r="G74" s="1234" t="str">
        <f>IF(基本情報入力シート!M74="","",基本情報入力シート!M74)</f>
        <v/>
      </c>
      <c r="H74" s="1234" t="str">
        <f>IF(基本情報入力シート!R74="","",基本情報入力シート!R74)</f>
        <v/>
      </c>
      <c r="I74" s="1234" t="str">
        <f>IF(基本情報入力シート!W74="","",基本情報入力シート!W74)</f>
        <v/>
      </c>
      <c r="J74" s="1234" t="str">
        <f>IF(基本情報入力シート!X74="","",基本情報入力シート!X74)</f>
        <v/>
      </c>
      <c r="K74" s="1234" t="str">
        <f>IF(基本情報入力シート!Y74="","",基本情報入力シート!Y74)</f>
        <v/>
      </c>
      <c r="L74" s="1237" t="str">
        <f>IF(基本情報入力シート!AB74="","",基本情報入力シート!AB74)</f>
        <v/>
      </c>
      <c r="M74" s="1292" t="str">
        <f>IF(基本情報入力シート!AC74="","",基本情報入力シート!AC74)</f>
        <v/>
      </c>
      <c r="N74" s="547" t="s">
        <v>183</v>
      </c>
      <c r="O74" s="151"/>
      <c r="P74" s="548" t="str">
        <f>IFERROR(VLOOKUP(K74,【参考】数式用!$A$5:$J$27,MATCH(O74,【参考】数式用!$B$4:$J$4,0)+1,0),"")</f>
        <v/>
      </c>
      <c r="Q74" s="151"/>
      <c r="R74" s="548" t="str">
        <f>IFERROR(VLOOKUP(K74,【参考】数式用!$A$5:$J$27,MATCH(Q74,【参考】数式用!$B$4:$J$4,0)+1,0),"")</f>
        <v/>
      </c>
      <c r="S74" s="549" t="s">
        <v>19</v>
      </c>
      <c r="T74" s="550">
        <v>6</v>
      </c>
      <c r="U74" s="202" t="s">
        <v>10</v>
      </c>
      <c r="V74" s="71">
        <v>4</v>
      </c>
      <c r="W74" s="202" t="s">
        <v>45</v>
      </c>
      <c r="X74" s="550">
        <v>6</v>
      </c>
      <c r="Y74" s="202" t="s">
        <v>10</v>
      </c>
      <c r="Z74" s="71">
        <v>5</v>
      </c>
      <c r="AA74" s="202" t="s">
        <v>13</v>
      </c>
      <c r="AB74" s="551" t="s">
        <v>24</v>
      </c>
      <c r="AC74" s="552">
        <f t="shared" si="52"/>
        <v>2</v>
      </c>
      <c r="AD74" s="202" t="s">
        <v>38</v>
      </c>
      <c r="AE74" s="553" t="str">
        <f>IFERROR(ROUNDDOWN(ROUND(L74*R74,0)*M74,0)*AC74,"")</f>
        <v/>
      </c>
      <c r="AF74" s="554" t="str">
        <f>IFERROR(ROUNDDOWN(ROUND(L74*(R74-P74),0)*M74,0)*AC74,"")</f>
        <v/>
      </c>
      <c r="AG74" s="555"/>
      <c r="AH74" s="465"/>
      <c r="AI74" s="473"/>
      <c r="AJ74" s="470"/>
      <c r="AK74" s="471"/>
      <c r="AL74" s="451"/>
      <c r="AM74" s="452"/>
      <c r="AN74" s="556" t="str">
        <f t="shared" ref="AN74" si="92">IF(AP74="","",IF(R74&lt;P74,"！加算の要件上は問題ありませんが、令和６年３月と比較して４・５月に加算率が下がる計画になっています。",""))</f>
        <v/>
      </c>
      <c r="AP74" s="557" t="str">
        <f>IF(K74&lt;&gt;"","P列・R列に色付け","")</f>
        <v/>
      </c>
      <c r="AQ74" s="558" t="str">
        <f>IFERROR(VLOOKUP(K74,【参考】数式用!$AJ$2:$AK$24,2,FALSE),"")</f>
        <v/>
      </c>
      <c r="AR74" s="560" t="str">
        <f>Q74&amp;Q75&amp;Q76</f>
        <v/>
      </c>
      <c r="AS74" s="558" t="str">
        <f t="shared" ref="AS74" si="93">IF(AG76&lt;&gt;0,IF(AH76="○","入力済","未入力"),"")</f>
        <v/>
      </c>
      <c r="AT74" s="559" t="str">
        <f>IF(OR(Q74="処遇加算Ⅰ",Q74="処遇加算Ⅱ"),IF(OR(AI74="○",AI74="令和６年度中に満たす"),"入力済","未入力"),"")</f>
        <v/>
      </c>
      <c r="AU74" s="560" t="str">
        <f>IF(Q74="処遇加算Ⅲ",IF(AJ74="○","入力済","未入力"),"")</f>
        <v/>
      </c>
      <c r="AV74" s="558" t="str">
        <f>IF(Q74="処遇加算Ⅰ",IF(OR(AK74="○",AK74="令和６年度中に満たす"),"入力済","未入力"),"")</f>
        <v/>
      </c>
      <c r="AW74" s="558"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43" t="str">
        <f>IF(Q75="特定加算Ⅰ",IF(AM75="","未入力","入力済"),"")</f>
        <v/>
      </c>
      <c r="AY74" s="543" t="str">
        <f>G74</f>
        <v/>
      </c>
    </row>
    <row r="75" spans="1:51" ht="32.1" customHeight="1">
      <c r="A75" s="1226"/>
      <c r="B75" s="1223"/>
      <c r="C75" s="1223"/>
      <c r="D75" s="1223"/>
      <c r="E75" s="1223"/>
      <c r="F75" s="1223"/>
      <c r="G75" s="1235"/>
      <c r="H75" s="1235"/>
      <c r="I75" s="1235"/>
      <c r="J75" s="1235"/>
      <c r="K75" s="1235"/>
      <c r="L75" s="1238"/>
      <c r="M75" s="1293"/>
      <c r="N75" s="561" t="s">
        <v>170</v>
      </c>
      <c r="O75" s="152"/>
      <c r="P75" s="562" t="str">
        <f>IFERROR(VLOOKUP(K74,【参考】数式用!$A$5:$J$27,MATCH(O75,【参考】数式用!$B$4:$J$4,0)+1,0),"")</f>
        <v/>
      </c>
      <c r="Q75" s="152"/>
      <c r="R75" s="562" t="str">
        <f>IFERROR(VLOOKUP(K74,【参考】数式用!$A$5:$J$27,MATCH(Q75,【参考】数式用!$B$4:$J$4,0)+1,0),"")</f>
        <v/>
      </c>
      <c r="S75" s="173" t="s">
        <v>19</v>
      </c>
      <c r="T75" s="563">
        <v>6</v>
      </c>
      <c r="U75" s="174" t="s">
        <v>10</v>
      </c>
      <c r="V75" s="109">
        <v>4</v>
      </c>
      <c r="W75" s="174" t="s">
        <v>45</v>
      </c>
      <c r="X75" s="563">
        <v>6</v>
      </c>
      <c r="Y75" s="174" t="s">
        <v>10</v>
      </c>
      <c r="Z75" s="109">
        <v>5</v>
      </c>
      <c r="AA75" s="174" t="s">
        <v>13</v>
      </c>
      <c r="AB75" s="564" t="s">
        <v>24</v>
      </c>
      <c r="AC75" s="565">
        <f t="shared" si="52"/>
        <v>2</v>
      </c>
      <c r="AD75" s="174" t="s">
        <v>38</v>
      </c>
      <c r="AE75" s="566" t="str">
        <f>IFERROR(ROUNDDOWN(ROUND(L74*R75,0)*M74,0)*AC75,"")</f>
        <v/>
      </c>
      <c r="AF75" s="567" t="str">
        <f>IFERROR(ROUNDDOWN(ROUND(L74*(R75-P75),0)*M74,0)*AC75,"")</f>
        <v/>
      </c>
      <c r="AG75" s="568"/>
      <c r="AH75" s="453"/>
      <c r="AI75" s="454"/>
      <c r="AJ75" s="455"/>
      <c r="AK75" s="456"/>
      <c r="AL75" s="457"/>
      <c r="AM75" s="458"/>
      <c r="AN75" s="569" t="str">
        <f t="shared" ref="AN75" si="94">IF(AP74="","",IF(OR(Z74=4,Z75=4,Z76=4),"！加算の要件上は問題ありませんが、算定期間の終わりが令和６年５月になっていません。区分変更の場合は、「基本情報入力シート」で同じ事業所を２行に分けて記入してください。",""))</f>
        <v/>
      </c>
      <c r="AO75" s="570"/>
      <c r="AP75" s="557" t="str">
        <f>IF(K74&lt;&gt;"","P列・R列に色付け","")</f>
        <v/>
      </c>
      <c r="AY75" s="543" t="str">
        <f>G74</f>
        <v/>
      </c>
    </row>
    <row r="76" spans="1:51" ht="32.1" customHeight="1" thickBot="1">
      <c r="A76" s="1227"/>
      <c r="B76" s="1224"/>
      <c r="C76" s="1224"/>
      <c r="D76" s="1224"/>
      <c r="E76" s="1224"/>
      <c r="F76" s="1224"/>
      <c r="G76" s="1236"/>
      <c r="H76" s="1236"/>
      <c r="I76" s="1236"/>
      <c r="J76" s="1236"/>
      <c r="K76" s="1236"/>
      <c r="L76" s="1239"/>
      <c r="M76" s="1294"/>
      <c r="N76" s="571" t="s">
        <v>140</v>
      </c>
      <c r="O76" s="155"/>
      <c r="P76" s="591" t="str">
        <f>IFERROR(VLOOKUP(K74,【参考】数式用!$A$5:$J$27,MATCH(O76,【参考】数式用!$B$4:$J$4,0)+1,0),"")</f>
        <v/>
      </c>
      <c r="Q76" s="153"/>
      <c r="R76" s="572" t="str">
        <f>IFERROR(VLOOKUP(K74,【参考】数式用!$A$5:$J$27,MATCH(Q76,【参考】数式用!$B$4:$J$4,0)+1,0),"")</f>
        <v/>
      </c>
      <c r="S76" s="573" t="s">
        <v>19</v>
      </c>
      <c r="T76" s="574">
        <v>6</v>
      </c>
      <c r="U76" s="575" t="s">
        <v>10</v>
      </c>
      <c r="V76" s="110">
        <v>4</v>
      </c>
      <c r="W76" s="575" t="s">
        <v>45</v>
      </c>
      <c r="X76" s="574">
        <v>6</v>
      </c>
      <c r="Y76" s="575" t="s">
        <v>10</v>
      </c>
      <c r="Z76" s="110">
        <v>5</v>
      </c>
      <c r="AA76" s="575" t="s">
        <v>13</v>
      </c>
      <c r="AB76" s="576" t="s">
        <v>24</v>
      </c>
      <c r="AC76" s="577">
        <f t="shared" si="52"/>
        <v>2</v>
      </c>
      <c r="AD76" s="575" t="s">
        <v>38</v>
      </c>
      <c r="AE76" s="590" t="str">
        <f>IFERROR(ROUNDDOWN(ROUND(L74*R76,0)*M74,0)*AC76,"")</f>
        <v/>
      </c>
      <c r="AF76" s="579" t="str">
        <f>IFERROR(ROUNDDOWN(ROUND(L74*(R76-P76),0)*M74,0)*AC76,"")</f>
        <v/>
      </c>
      <c r="AG76" s="580">
        <f t="shared" si="66"/>
        <v>0</v>
      </c>
      <c r="AH76" s="459"/>
      <c r="AI76" s="460"/>
      <c r="AJ76" s="461"/>
      <c r="AK76" s="462"/>
      <c r="AL76" s="463"/>
      <c r="AM76" s="464"/>
      <c r="AN76" s="581" t="str">
        <f t="shared" ref="AN76" si="9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82" t="str">
        <f>IF(K74&lt;&gt;"","P列・R列に色付け","")</f>
        <v/>
      </c>
      <c r="AQ76" s="583"/>
      <c r="AR76" s="583"/>
      <c r="AX76" s="584"/>
      <c r="AY76" s="543" t="str">
        <f>G74</f>
        <v/>
      </c>
    </row>
    <row r="77" spans="1:51" ht="32.1" customHeight="1">
      <c r="A77" s="1225">
        <v>22</v>
      </c>
      <c r="B77" s="1222" t="str">
        <f>IF(基本情報入力シート!C75="","",基本情報入力シート!C75)</f>
        <v/>
      </c>
      <c r="C77" s="1222"/>
      <c r="D77" s="1222"/>
      <c r="E77" s="1222"/>
      <c r="F77" s="1222"/>
      <c r="G77" s="1234" t="str">
        <f>IF(基本情報入力シート!M75="","",基本情報入力シート!M75)</f>
        <v/>
      </c>
      <c r="H77" s="1234" t="str">
        <f>IF(基本情報入力シート!R75="","",基本情報入力シート!R75)</f>
        <v/>
      </c>
      <c r="I77" s="1234" t="str">
        <f>IF(基本情報入力シート!W75="","",基本情報入力シート!W75)</f>
        <v/>
      </c>
      <c r="J77" s="1234" t="str">
        <f>IF(基本情報入力シート!X75="","",基本情報入力シート!X75)</f>
        <v/>
      </c>
      <c r="K77" s="1234" t="str">
        <f>IF(基本情報入力シート!Y75="","",基本情報入力シート!Y75)</f>
        <v/>
      </c>
      <c r="L77" s="1237" t="str">
        <f>IF(基本情報入力シート!AB75="","",基本情報入力シート!AB75)</f>
        <v/>
      </c>
      <c r="M77" s="1292" t="str">
        <f>IF(基本情報入力シート!AC75="","",基本情報入力シート!AC75)</f>
        <v/>
      </c>
      <c r="N77" s="547" t="s">
        <v>183</v>
      </c>
      <c r="O77" s="151"/>
      <c r="P77" s="548" t="str">
        <f>IFERROR(VLOOKUP(K77,【参考】数式用!$A$5:$J$27,MATCH(O77,【参考】数式用!$B$4:$J$4,0)+1,0),"")</f>
        <v/>
      </c>
      <c r="Q77" s="151"/>
      <c r="R77" s="548" t="str">
        <f>IFERROR(VLOOKUP(K77,【参考】数式用!$A$5:$J$27,MATCH(Q77,【参考】数式用!$B$4:$J$4,0)+1,0),"")</f>
        <v/>
      </c>
      <c r="S77" s="549" t="s">
        <v>19</v>
      </c>
      <c r="T77" s="550">
        <v>6</v>
      </c>
      <c r="U77" s="202" t="s">
        <v>10</v>
      </c>
      <c r="V77" s="71">
        <v>4</v>
      </c>
      <c r="W77" s="202" t="s">
        <v>45</v>
      </c>
      <c r="X77" s="550">
        <v>6</v>
      </c>
      <c r="Y77" s="202" t="s">
        <v>10</v>
      </c>
      <c r="Z77" s="71">
        <v>5</v>
      </c>
      <c r="AA77" s="202" t="s">
        <v>13</v>
      </c>
      <c r="AB77" s="551" t="s">
        <v>24</v>
      </c>
      <c r="AC77" s="552">
        <f t="shared" si="52"/>
        <v>2</v>
      </c>
      <c r="AD77" s="202" t="s">
        <v>38</v>
      </c>
      <c r="AE77" s="553" t="str">
        <f>IFERROR(ROUNDDOWN(ROUND(L77*R77,0)*M77,0)*AC77,"")</f>
        <v/>
      </c>
      <c r="AF77" s="554" t="str">
        <f>IFERROR(ROUNDDOWN(ROUND(L77*(R77-P77),0)*M77,0)*AC77,"")</f>
        <v/>
      </c>
      <c r="AG77" s="555"/>
      <c r="AH77" s="465"/>
      <c r="AI77" s="473"/>
      <c r="AJ77" s="470"/>
      <c r="AK77" s="471"/>
      <c r="AL77" s="451"/>
      <c r="AM77" s="452"/>
      <c r="AN77" s="556" t="str">
        <f t="shared" ref="AN77" si="96">IF(AP77="","",IF(R77&lt;P77,"！加算の要件上は問題ありませんが、令和６年３月と比較して４・５月に加算率が下がる計画になっています。",""))</f>
        <v/>
      </c>
      <c r="AP77" s="557" t="str">
        <f>IF(K77&lt;&gt;"","P列・R列に色付け","")</f>
        <v/>
      </c>
      <c r="AQ77" s="558" t="str">
        <f>IFERROR(VLOOKUP(K77,【参考】数式用!$AJ$2:$AK$24,2,FALSE),"")</f>
        <v/>
      </c>
      <c r="AR77" s="560" t="str">
        <f>Q77&amp;Q78&amp;Q79</f>
        <v/>
      </c>
      <c r="AS77" s="558" t="str">
        <f t="shared" ref="AS77" si="97">IF(AG79&lt;&gt;0,IF(AH79="○","入力済","未入力"),"")</f>
        <v/>
      </c>
      <c r="AT77" s="559" t="str">
        <f>IF(OR(Q77="処遇加算Ⅰ",Q77="処遇加算Ⅱ"),IF(OR(AI77="○",AI77="令和６年度中に満たす"),"入力済","未入力"),"")</f>
        <v/>
      </c>
      <c r="AU77" s="560" t="str">
        <f>IF(Q77="処遇加算Ⅲ",IF(AJ77="○","入力済","未入力"),"")</f>
        <v/>
      </c>
      <c r="AV77" s="558" t="str">
        <f>IF(Q77="処遇加算Ⅰ",IF(OR(AK77="○",AK77="令和６年度中に満たす"),"入力済","未入力"),"")</f>
        <v/>
      </c>
      <c r="AW77" s="558"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43" t="str">
        <f>IF(Q78="特定加算Ⅰ",IF(AM78="","未入力","入力済"),"")</f>
        <v/>
      </c>
      <c r="AY77" s="543" t="str">
        <f>G77</f>
        <v/>
      </c>
    </row>
    <row r="78" spans="1:51" ht="32.1" customHeight="1">
      <c r="A78" s="1226"/>
      <c r="B78" s="1223"/>
      <c r="C78" s="1223"/>
      <c r="D78" s="1223"/>
      <c r="E78" s="1223"/>
      <c r="F78" s="1223"/>
      <c r="G78" s="1235"/>
      <c r="H78" s="1235"/>
      <c r="I78" s="1235"/>
      <c r="J78" s="1235"/>
      <c r="K78" s="1235"/>
      <c r="L78" s="1238"/>
      <c r="M78" s="1293"/>
      <c r="N78" s="561" t="s">
        <v>170</v>
      </c>
      <c r="O78" s="152"/>
      <c r="P78" s="562" t="str">
        <f>IFERROR(VLOOKUP(K77,【参考】数式用!$A$5:$J$27,MATCH(O78,【参考】数式用!$B$4:$J$4,0)+1,0),"")</f>
        <v/>
      </c>
      <c r="Q78" s="152"/>
      <c r="R78" s="562" t="str">
        <f>IFERROR(VLOOKUP(K77,【参考】数式用!$A$5:$J$27,MATCH(Q78,【参考】数式用!$B$4:$J$4,0)+1,0),"")</f>
        <v/>
      </c>
      <c r="S78" s="173" t="s">
        <v>19</v>
      </c>
      <c r="T78" s="563">
        <v>6</v>
      </c>
      <c r="U78" s="174" t="s">
        <v>10</v>
      </c>
      <c r="V78" s="109">
        <v>4</v>
      </c>
      <c r="W78" s="174" t="s">
        <v>45</v>
      </c>
      <c r="X78" s="563">
        <v>6</v>
      </c>
      <c r="Y78" s="174" t="s">
        <v>10</v>
      </c>
      <c r="Z78" s="109">
        <v>5</v>
      </c>
      <c r="AA78" s="174" t="s">
        <v>13</v>
      </c>
      <c r="AB78" s="564" t="s">
        <v>24</v>
      </c>
      <c r="AC78" s="565">
        <f t="shared" si="52"/>
        <v>2</v>
      </c>
      <c r="AD78" s="174" t="s">
        <v>38</v>
      </c>
      <c r="AE78" s="566" t="str">
        <f>IFERROR(ROUNDDOWN(ROUND(L77*R78,0)*M77,0)*AC78,"")</f>
        <v/>
      </c>
      <c r="AF78" s="567" t="str">
        <f>IFERROR(ROUNDDOWN(ROUND(L77*(R78-P78),0)*M77,0)*AC78,"")</f>
        <v/>
      </c>
      <c r="AG78" s="568"/>
      <c r="AH78" s="453"/>
      <c r="AI78" s="454"/>
      <c r="AJ78" s="455"/>
      <c r="AK78" s="456"/>
      <c r="AL78" s="457"/>
      <c r="AM78" s="458"/>
      <c r="AN78" s="569" t="str">
        <f t="shared" ref="AN78" si="98">IF(AP77="","",IF(OR(Z77=4,Z78=4,Z79=4),"！加算の要件上は問題ありませんが、算定期間の終わりが令和６年５月になっていません。区分変更の場合は、「基本情報入力シート」で同じ事業所を２行に分けて記入してください。",""))</f>
        <v/>
      </c>
      <c r="AO78" s="570"/>
      <c r="AP78" s="557" t="str">
        <f>IF(K77&lt;&gt;"","P列・R列に色付け","")</f>
        <v/>
      </c>
      <c r="AY78" s="543" t="str">
        <f>G77</f>
        <v/>
      </c>
    </row>
    <row r="79" spans="1:51" ht="32.1" customHeight="1" thickBot="1">
      <c r="A79" s="1227"/>
      <c r="B79" s="1224"/>
      <c r="C79" s="1224"/>
      <c r="D79" s="1224"/>
      <c r="E79" s="1224"/>
      <c r="F79" s="1224"/>
      <c r="G79" s="1236"/>
      <c r="H79" s="1236"/>
      <c r="I79" s="1236"/>
      <c r="J79" s="1236"/>
      <c r="K79" s="1236"/>
      <c r="L79" s="1239"/>
      <c r="M79" s="1294"/>
      <c r="N79" s="571" t="s">
        <v>140</v>
      </c>
      <c r="O79" s="155"/>
      <c r="P79" s="591" t="str">
        <f>IFERROR(VLOOKUP(K77,【参考】数式用!$A$5:$J$27,MATCH(O79,【参考】数式用!$B$4:$J$4,0)+1,0),"")</f>
        <v/>
      </c>
      <c r="Q79" s="153"/>
      <c r="R79" s="572" t="str">
        <f>IFERROR(VLOOKUP(K77,【参考】数式用!$A$5:$J$27,MATCH(Q79,【参考】数式用!$B$4:$J$4,0)+1,0),"")</f>
        <v/>
      </c>
      <c r="S79" s="573" t="s">
        <v>19</v>
      </c>
      <c r="T79" s="574">
        <v>6</v>
      </c>
      <c r="U79" s="575" t="s">
        <v>10</v>
      </c>
      <c r="V79" s="110">
        <v>4</v>
      </c>
      <c r="W79" s="575" t="s">
        <v>45</v>
      </c>
      <c r="X79" s="574">
        <v>6</v>
      </c>
      <c r="Y79" s="575" t="s">
        <v>10</v>
      </c>
      <c r="Z79" s="110">
        <v>5</v>
      </c>
      <c r="AA79" s="575" t="s">
        <v>13</v>
      </c>
      <c r="AB79" s="576" t="s">
        <v>24</v>
      </c>
      <c r="AC79" s="577">
        <f t="shared" si="52"/>
        <v>2</v>
      </c>
      <c r="AD79" s="575" t="s">
        <v>38</v>
      </c>
      <c r="AE79" s="590" t="str">
        <f>IFERROR(ROUNDDOWN(ROUND(L77*R79,0)*M77,0)*AC79,"")</f>
        <v/>
      </c>
      <c r="AF79" s="579" t="str">
        <f>IFERROR(ROUNDDOWN(ROUND(L77*(R79-P79),0)*M77,0)*AC79,"")</f>
        <v/>
      </c>
      <c r="AG79" s="580">
        <f t="shared" si="66"/>
        <v>0</v>
      </c>
      <c r="AH79" s="459"/>
      <c r="AI79" s="460"/>
      <c r="AJ79" s="461"/>
      <c r="AK79" s="462"/>
      <c r="AL79" s="463"/>
      <c r="AM79" s="464"/>
      <c r="AN79" s="581" t="str">
        <f t="shared" ref="AN79" si="99">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82" t="str">
        <f>IF(K77&lt;&gt;"","P列・R列に色付け","")</f>
        <v/>
      </c>
      <c r="AQ79" s="583"/>
      <c r="AR79" s="583"/>
      <c r="AX79" s="584"/>
      <c r="AY79" s="543" t="str">
        <f>G77</f>
        <v/>
      </c>
    </row>
    <row r="80" spans="1:51" ht="32.1" customHeight="1">
      <c r="A80" s="1225">
        <v>23</v>
      </c>
      <c r="B80" s="1222" t="str">
        <f>IF(基本情報入力シート!C76="","",基本情報入力シート!C76)</f>
        <v/>
      </c>
      <c r="C80" s="1222"/>
      <c r="D80" s="1222"/>
      <c r="E80" s="1222"/>
      <c r="F80" s="1222"/>
      <c r="G80" s="1234" t="str">
        <f>IF(基本情報入力シート!M76="","",基本情報入力シート!M76)</f>
        <v/>
      </c>
      <c r="H80" s="1234" t="str">
        <f>IF(基本情報入力シート!R76="","",基本情報入力シート!R76)</f>
        <v/>
      </c>
      <c r="I80" s="1234" t="str">
        <f>IF(基本情報入力シート!W76="","",基本情報入力シート!W76)</f>
        <v/>
      </c>
      <c r="J80" s="1234" t="str">
        <f>IF(基本情報入力シート!X76="","",基本情報入力シート!X76)</f>
        <v/>
      </c>
      <c r="K80" s="1234" t="str">
        <f>IF(基本情報入力シート!Y76="","",基本情報入力シート!Y76)</f>
        <v/>
      </c>
      <c r="L80" s="1237" t="str">
        <f>IF(基本情報入力シート!AB76="","",基本情報入力シート!AB76)</f>
        <v/>
      </c>
      <c r="M80" s="1292" t="str">
        <f>IF(基本情報入力シート!AC76="","",基本情報入力シート!AC76)</f>
        <v/>
      </c>
      <c r="N80" s="547" t="s">
        <v>183</v>
      </c>
      <c r="O80" s="151"/>
      <c r="P80" s="548" t="str">
        <f>IFERROR(VLOOKUP(K80,【参考】数式用!$A$5:$J$27,MATCH(O80,【参考】数式用!$B$4:$J$4,0)+1,0),"")</f>
        <v/>
      </c>
      <c r="Q80" s="151"/>
      <c r="R80" s="548" t="str">
        <f>IFERROR(VLOOKUP(K80,【参考】数式用!$A$5:$J$27,MATCH(Q80,【参考】数式用!$B$4:$J$4,0)+1,0),"")</f>
        <v/>
      </c>
      <c r="S80" s="549" t="s">
        <v>19</v>
      </c>
      <c r="T80" s="550">
        <v>6</v>
      </c>
      <c r="U80" s="202" t="s">
        <v>10</v>
      </c>
      <c r="V80" s="71">
        <v>4</v>
      </c>
      <c r="W80" s="202" t="s">
        <v>45</v>
      </c>
      <c r="X80" s="550">
        <v>6</v>
      </c>
      <c r="Y80" s="202" t="s">
        <v>10</v>
      </c>
      <c r="Z80" s="71">
        <v>5</v>
      </c>
      <c r="AA80" s="202" t="s">
        <v>13</v>
      </c>
      <c r="AB80" s="551" t="s">
        <v>24</v>
      </c>
      <c r="AC80" s="552">
        <f t="shared" si="52"/>
        <v>2</v>
      </c>
      <c r="AD80" s="202" t="s">
        <v>38</v>
      </c>
      <c r="AE80" s="553" t="str">
        <f>IFERROR(ROUNDDOWN(ROUND(L80*R80,0)*M80,0)*AC80,"")</f>
        <v/>
      </c>
      <c r="AF80" s="554" t="str">
        <f>IFERROR(ROUNDDOWN(ROUND(L80*(R80-P80),0)*M80,0)*AC80,"")</f>
        <v/>
      </c>
      <c r="AG80" s="555"/>
      <c r="AH80" s="465"/>
      <c r="AI80" s="473"/>
      <c r="AJ80" s="470"/>
      <c r="AK80" s="471"/>
      <c r="AL80" s="451"/>
      <c r="AM80" s="452"/>
      <c r="AN80" s="556" t="str">
        <f t="shared" ref="AN80" si="100">IF(AP80="","",IF(R80&lt;P80,"！加算の要件上は問題ありませんが、令和６年３月と比較して４・５月に加算率が下がる計画になっています。",""))</f>
        <v/>
      </c>
      <c r="AP80" s="557" t="str">
        <f>IF(K80&lt;&gt;"","P列・R列に色付け","")</f>
        <v/>
      </c>
      <c r="AQ80" s="558" t="str">
        <f>IFERROR(VLOOKUP(K80,【参考】数式用!$AJ$2:$AK$24,2,FALSE),"")</f>
        <v/>
      </c>
      <c r="AR80" s="560" t="str">
        <f>Q80&amp;Q81&amp;Q82</f>
        <v/>
      </c>
      <c r="AS80" s="558" t="str">
        <f t="shared" ref="AS80" si="101">IF(AG82&lt;&gt;0,IF(AH82="○","入力済","未入力"),"")</f>
        <v/>
      </c>
      <c r="AT80" s="559" t="str">
        <f>IF(OR(Q80="処遇加算Ⅰ",Q80="処遇加算Ⅱ"),IF(OR(AI80="○",AI80="令和６年度中に満たす"),"入力済","未入力"),"")</f>
        <v/>
      </c>
      <c r="AU80" s="560" t="str">
        <f>IF(Q80="処遇加算Ⅲ",IF(AJ80="○","入力済","未入力"),"")</f>
        <v/>
      </c>
      <c r="AV80" s="558" t="str">
        <f>IF(Q80="処遇加算Ⅰ",IF(OR(AK80="○",AK80="令和６年度中に満たす"),"入力済","未入力"),"")</f>
        <v/>
      </c>
      <c r="AW80" s="558"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43" t="str">
        <f>IF(Q81="特定加算Ⅰ",IF(AM81="","未入力","入力済"),"")</f>
        <v/>
      </c>
      <c r="AY80" s="543" t="str">
        <f>G80</f>
        <v/>
      </c>
    </row>
    <row r="81" spans="1:51" ht="32.1" customHeight="1">
      <c r="A81" s="1226"/>
      <c r="B81" s="1223"/>
      <c r="C81" s="1223"/>
      <c r="D81" s="1223"/>
      <c r="E81" s="1223"/>
      <c r="F81" s="1223"/>
      <c r="G81" s="1235"/>
      <c r="H81" s="1235"/>
      <c r="I81" s="1235"/>
      <c r="J81" s="1235"/>
      <c r="K81" s="1235"/>
      <c r="L81" s="1238"/>
      <c r="M81" s="1293"/>
      <c r="N81" s="561" t="s">
        <v>170</v>
      </c>
      <c r="O81" s="152"/>
      <c r="P81" s="562" t="str">
        <f>IFERROR(VLOOKUP(K80,【参考】数式用!$A$5:$J$27,MATCH(O81,【参考】数式用!$B$4:$J$4,0)+1,0),"")</f>
        <v/>
      </c>
      <c r="Q81" s="152"/>
      <c r="R81" s="562" t="str">
        <f>IFERROR(VLOOKUP(K80,【参考】数式用!$A$5:$J$27,MATCH(Q81,【参考】数式用!$B$4:$J$4,0)+1,0),"")</f>
        <v/>
      </c>
      <c r="S81" s="173" t="s">
        <v>19</v>
      </c>
      <c r="T81" s="563">
        <v>6</v>
      </c>
      <c r="U81" s="174" t="s">
        <v>10</v>
      </c>
      <c r="V81" s="109">
        <v>4</v>
      </c>
      <c r="W81" s="174" t="s">
        <v>45</v>
      </c>
      <c r="X81" s="563">
        <v>6</v>
      </c>
      <c r="Y81" s="174" t="s">
        <v>10</v>
      </c>
      <c r="Z81" s="109">
        <v>5</v>
      </c>
      <c r="AA81" s="174" t="s">
        <v>13</v>
      </c>
      <c r="AB81" s="564" t="s">
        <v>24</v>
      </c>
      <c r="AC81" s="565">
        <f t="shared" si="52"/>
        <v>2</v>
      </c>
      <c r="AD81" s="174" t="s">
        <v>38</v>
      </c>
      <c r="AE81" s="566" t="str">
        <f>IFERROR(ROUNDDOWN(ROUND(L80*R81,0)*M80,0)*AC81,"")</f>
        <v/>
      </c>
      <c r="AF81" s="567" t="str">
        <f>IFERROR(ROUNDDOWN(ROUND(L80*(R81-P81),0)*M80,0)*AC81,"")</f>
        <v/>
      </c>
      <c r="AG81" s="568"/>
      <c r="AH81" s="453"/>
      <c r="AI81" s="454"/>
      <c r="AJ81" s="455"/>
      <c r="AK81" s="456"/>
      <c r="AL81" s="457"/>
      <c r="AM81" s="458"/>
      <c r="AN81" s="569" t="str">
        <f t="shared" ref="AN81" si="102">IF(AP80="","",IF(OR(Z80=4,Z81=4,Z82=4),"！加算の要件上は問題ありませんが、算定期間の終わりが令和６年５月になっていません。区分変更の場合は、「基本情報入力シート」で同じ事業所を２行に分けて記入してください。",""))</f>
        <v/>
      </c>
      <c r="AO81" s="570"/>
      <c r="AP81" s="557" t="str">
        <f>IF(K80&lt;&gt;"","P列・R列に色付け","")</f>
        <v/>
      </c>
      <c r="AY81" s="543" t="str">
        <f>G80</f>
        <v/>
      </c>
    </row>
    <row r="82" spans="1:51" ht="32.1" customHeight="1" thickBot="1">
      <c r="A82" s="1227"/>
      <c r="B82" s="1224"/>
      <c r="C82" s="1224"/>
      <c r="D82" s="1224"/>
      <c r="E82" s="1224"/>
      <c r="F82" s="1224"/>
      <c r="G82" s="1236"/>
      <c r="H82" s="1236"/>
      <c r="I82" s="1236"/>
      <c r="J82" s="1236"/>
      <c r="K82" s="1236"/>
      <c r="L82" s="1239"/>
      <c r="M82" s="1294"/>
      <c r="N82" s="571" t="s">
        <v>140</v>
      </c>
      <c r="O82" s="155"/>
      <c r="P82" s="591" t="str">
        <f>IFERROR(VLOOKUP(K80,【参考】数式用!$A$5:$J$27,MATCH(O82,【参考】数式用!$B$4:$J$4,0)+1,0),"")</f>
        <v/>
      </c>
      <c r="Q82" s="153"/>
      <c r="R82" s="572" t="str">
        <f>IFERROR(VLOOKUP(K80,【参考】数式用!$A$5:$J$27,MATCH(Q82,【参考】数式用!$B$4:$J$4,0)+1,0),"")</f>
        <v/>
      </c>
      <c r="S82" s="573" t="s">
        <v>19</v>
      </c>
      <c r="T82" s="574">
        <v>6</v>
      </c>
      <c r="U82" s="575" t="s">
        <v>10</v>
      </c>
      <c r="V82" s="110">
        <v>4</v>
      </c>
      <c r="W82" s="575" t="s">
        <v>45</v>
      </c>
      <c r="X82" s="574">
        <v>6</v>
      </c>
      <c r="Y82" s="575" t="s">
        <v>10</v>
      </c>
      <c r="Z82" s="110">
        <v>5</v>
      </c>
      <c r="AA82" s="575" t="s">
        <v>13</v>
      </c>
      <c r="AB82" s="576" t="s">
        <v>24</v>
      </c>
      <c r="AC82" s="577">
        <f t="shared" si="52"/>
        <v>2</v>
      </c>
      <c r="AD82" s="575" t="s">
        <v>38</v>
      </c>
      <c r="AE82" s="590" t="str">
        <f>IFERROR(ROUNDDOWN(ROUND(L80*R82,0)*M80,0)*AC82,"")</f>
        <v/>
      </c>
      <c r="AF82" s="579" t="str">
        <f>IFERROR(ROUNDDOWN(ROUND(L80*(R82-P82),0)*M80,0)*AC82,"")</f>
        <v/>
      </c>
      <c r="AG82" s="580">
        <f t="shared" si="66"/>
        <v>0</v>
      </c>
      <c r="AH82" s="459"/>
      <c r="AI82" s="460"/>
      <c r="AJ82" s="461"/>
      <c r="AK82" s="462"/>
      <c r="AL82" s="463"/>
      <c r="AM82" s="464"/>
      <c r="AN82" s="581" t="str">
        <f t="shared" ref="AN82" si="103">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82" t="str">
        <f>IF(K80&lt;&gt;"","P列・R列に色付け","")</f>
        <v/>
      </c>
      <c r="AQ82" s="583"/>
      <c r="AR82" s="583"/>
      <c r="AX82" s="584"/>
      <c r="AY82" s="543" t="str">
        <f>G80</f>
        <v/>
      </c>
    </row>
    <row r="83" spans="1:51" ht="32.1" customHeight="1">
      <c r="A83" s="1225">
        <v>24</v>
      </c>
      <c r="B83" s="1222" t="str">
        <f>IF(基本情報入力シート!C77="","",基本情報入力シート!C77)</f>
        <v/>
      </c>
      <c r="C83" s="1222"/>
      <c r="D83" s="1222"/>
      <c r="E83" s="1222"/>
      <c r="F83" s="1222"/>
      <c r="G83" s="1234" t="str">
        <f>IF(基本情報入力シート!M77="","",基本情報入力シート!M77)</f>
        <v/>
      </c>
      <c r="H83" s="1234" t="str">
        <f>IF(基本情報入力シート!R77="","",基本情報入力シート!R77)</f>
        <v/>
      </c>
      <c r="I83" s="1234" t="str">
        <f>IF(基本情報入力シート!W77="","",基本情報入力シート!W77)</f>
        <v/>
      </c>
      <c r="J83" s="1234" t="str">
        <f>IF(基本情報入力シート!X77="","",基本情報入力シート!X77)</f>
        <v/>
      </c>
      <c r="K83" s="1234" t="str">
        <f>IF(基本情報入力シート!Y77="","",基本情報入力シート!Y77)</f>
        <v/>
      </c>
      <c r="L83" s="1237" t="str">
        <f>IF(基本情報入力シート!AB77="","",基本情報入力シート!AB77)</f>
        <v/>
      </c>
      <c r="M83" s="1292" t="str">
        <f>IF(基本情報入力シート!AC77="","",基本情報入力シート!AC77)</f>
        <v/>
      </c>
      <c r="N83" s="547" t="s">
        <v>183</v>
      </c>
      <c r="O83" s="151"/>
      <c r="P83" s="548" t="str">
        <f>IFERROR(VLOOKUP(K83,【参考】数式用!$A$5:$J$27,MATCH(O83,【参考】数式用!$B$4:$J$4,0)+1,0),"")</f>
        <v/>
      </c>
      <c r="Q83" s="151"/>
      <c r="R83" s="548" t="str">
        <f>IFERROR(VLOOKUP(K83,【参考】数式用!$A$5:$J$27,MATCH(Q83,【参考】数式用!$B$4:$J$4,0)+1,0),"")</f>
        <v/>
      </c>
      <c r="S83" s="549" t="s">
        <v>19</v>
      </c>
      <c r="T83" s="550">
        <v>6</v>
      </c>
      <c r="U83" s="202" t="s">
        <v>10</v>
      </c>
      <c r="V83" s="71">
        <v>4</v>
      </c>
      <c r="W83" s="202" t="s">
        <v>45</v>
      </c>
      <c r="X83" s="550">
        <v>6</v>
      </c>
      <c r="Y83" s="202" t="s">
        <v>10</v>
      </c>
      <c r="Z83" s="71">
        <v>5</v>
      </c>
      <c r="AA83" s="202" t="s">
        <v>13</v>
      </c>
      <c r="AB83" s="551" t="s">
        <v>24</v>
      </c>
      <c r="AC83" s="552">
        <f t="shared" si="52"/>
        <v>2</v>
      </c>
      <c r="AD83" s="202" t="s">
        <v>38</v>
      </c>
      <c r="AE83" s="553" t="str">
        <f>IFERROR(ROUNDDOWN(ROUND(L83*R83,0)*M83,0)*AC83,"")</f>
        <v/>
      </c>
      <c r="AF83" s="554" t="str">
        <f>IFERROR(ROUNDDOWN(ROUND(L83*(R83-P83),0)*M83,0)*AC83,"")</f>
        <v/>
      </c>
      <c r="AG83" s="555"/>
      <c r="AH83" s="465"/>
      <c r="AI83" s="473"/>
      <c r="AJ83" s="470"/>
      <c r="AK83" s="471"/>
      <c r="AL83" s="451"/>
      <c r="AM83" s="452"/>
      <c r="AN83" s="556" t="str">
        <f t="shared" ref="AN83" si="104">IF(AP83="","",IF(R83&lt;P83,"！加算の要件上は問題ありませんが、令和６年３月と比較して４・５月に加算率が下がる計画になっています。",""))</f>
        <v/>
      </c>
      <c r="AP83" s="557" t="str">
        <f>IF(K83&lt;&gt;"","P列・R列に色付け","")</f>
        <v/>
      </c>
      <c r="AQ83" s="558" t="str">
        <f>IFERROR(VLOOKUP(K83,【参考】数式用!$AJ$2:$AK$24,2,FALSE),"")</f>
        <v/>
      </c>
      <c r="AR83" s="560" t="str">
        <f>Q83&amp;Q84&amp;Q85</f>
        <v/>
      </c>
      <c r="AS83" s="558" t="str">
        <f t="shared" ref="AS83" si="105">IF(AG85&lt;&gt;0,IF(AH85="○","入力済","未入力"),"")</f>
        <v/>
      </c>
      <c r="AT83" s="559" t="str">
        <f>IF(OR(Q83="処遇加算Ⅰ",Q83="処遇加算Ⅱ"),IF(OR(AI83="○",AI83="令和６年度中に満たす"),"入力済","未入力"),"")</f>
        <v/>
      </c>
      <c r="AU83" s="560" t="str">
        <f>IF(Q83="処遇加算Ⅲ",IF(AJ83="○","入力済","未入力"),"")</f>
        <v/>
      </c>
      <c r="AV83" s="558" t="str">
        <f>IF(Q83="処遇加算Ⅰ",IF(OR(AK83="○",AK83="令和６年度中に満たす"),"入力済","未入力"),"")</f>
        <v/>
      </c>
      <c r="AW83" s="558"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43" t="str">
        <f>IF(Q84="特定加算Ⅰ",IF(AM84="","未入力","入力済"),"")</f>
        <v/>
      </c>
      <c r="AY83" s="543" t="str">
        <f>G83</f>
        <v/>
      </c>
    </row>
    <row r="84" spans="1:51" ht="32.1" customHeight="1">
      <c r="A84" s="1226"/>
      <c r="B84" s="1223"/>
      <c r="C84" s="1223"/>
      <c r="D84" s="1223"/>
      <c r="E84" s="1223"/>
      <c r="F84" s="1223"/>
      <c r="G84" s="1235"/>
      <c r="H84" s="1235"/>
      <c r="I84" s="1235"/>
      <c r="J84" s="1235"/>
      <c r="K84" s="1235"/>
      <c r="L84" s="1238"/>
      <c r="M84" s="1293"/>
      <c r="N84" s="561" t="s">
        <v>170</v>
      </c>
      <c r="O84" s="152"/>
      <c r="P84" s="562" t="str">
        <f>IFERROR(VLOOKUP(K83,【参考】数式用!$A$5:$J$27,MATCH(O84,【参考】数式用!$B$4:$J$4,0)+1,0),"")</f>
        <v/>
      </c>
      <c r="Q84" s="152"/>
      <c r="R84" s="562" t="str">
        <f>IFERROR(VLOOKUP(K83,【参考】数式用!$A$5:$J$27,MATCH(Q84,【参考】数式用!$B$4:$J$4,0)+1,0),"")</f>
        <v/>
      </c>
      <c r="S84" s="173" t="s">
        <v>19</v>
      </c>
      <c r="T84" s="563">
        <v>6</v>
      </c>
      <c r="U84" s="174" t="s">
        <v>10</v>
      </c>
      <c r="V84" s="109">
        <v>4</v>
      </c>
      <c r="W84" s="174" t="s">
        <v>45</v>
      </c>
      <c r="X84" s="563">
        <v>6</v>
      </c>
      <c r="Y84" s="174" t="s">
        <v>10</v>
      </c>
      <c r="Z84" s="109">
        <v>5</v>
      </c>
      <c r="AA84" s="174" t="s">
        <v>13</v>
      </c>
      <c r="AB84" s="564" t="s">
        <v>24</v>
      </c>
      <c r="AC84" s="565">
        <f t="shared" si="52"/>
        <v>2</v>
      </c>
      <c r="AD84" s="174" t="s">
        <v>38</v>
      </c>
      <c r="AE84" s="566" t="str">
        <f>IFERROR(ROUNDDOWN(ROUND(L83*R84,0)*M83,0)*AC84,"")</f>
        <v/>
      </c>
      <c r="AF84" s="567" t="str">
        <f>IFERROR(ROUNDDOWN(ROUND(L83*(R84-P84),0)*M83,0)*AC84,"")</f>
        <v/>
      </c>
      <c r="AG84" s="568"/>
      <c r="AH84" s="453"/>
      <c r="AI84" s="454"/>
      <c r="AJ84" s="455"/>
      <c r="AK84" s="456"/>
      <c r="AL84" s="457"/>
      <c r="AM84" s="458"/>
      <c r="AN84" s="569" t="str">
        <f t="shared" ref="AN84" si="106">IF(AP83="","",IF(OR(Z83=4,Z84=4,Z85=4),"！加算の要件上は問題ありませんが、算定期間の終わりが令和６年５月になっていません。区分変更の場合は、「基本情報入力シート」で同じ事業所を２行に分けて記入してください。",""))</f>
        <v/>
      </c>
      <c r="AO84" s="570"/>
      <c r="AP84" s="557" t="str">
        <f>IF(K83&lt;&gt;"","P列・R列に色付け","")</f>
        <v/>
      </c>
      <c r="AY84" s="543" t="str">
        <f>G83</f>
        <v/>
      </c>
    </row>
    <row r="85" spans="1:51" ht="32.1" customHeight="1" thickBot="1">
      <c r="A85" s="1227"/>
      <c r="B85" s="1224"/>
      <c r="C85" s="1224"/>
      <c r="D85" s="1224"/>
      <c r="E85" s="1224"/>
      <c r="F85" s="1224"/>
      <c r="G85" s="1236"/>
      <c r="H85" s="1236"/>
      <c r="I85" s="1236"/>
      <c r="J85" s="1236"/>
      <c r="K85" s="1236"/>
      <c r="L85" s="1239"/>
      <c r="M85" s="1294"/>
      <c r="N85" s="571" t="s">
        <v>140</v>
      </c>
      <c r="O85" s="155"/>
      <c r="P85" s="591" t="str">
        <f>IFERROR(VLOOKUP(K83,【参考】数式用!$A$5:$J$27,MATCH(O85,【参考】数式用!$B$4:$J$4,0)+1,0),"")</f>
        <v/>
      </c>
      <c r="Q85" s="153"/>
      <c r="R85" s="572" t="str">
        <f>IFERROR(VLOOKUP(K83,【参考】数式用!$A$5:$J$27,MATCH(Q85,【参考】数式用!$B$4:$J$4,0)+1,0),"")</f>
        <v/>
      </c>
      <c r="S85" s="573" t="s">
        <v>19</v>
      </c>
      <c r="T85" s="574">
        <v>6</v>
      </c>
      <c r="U85" s="575" t="s">
        <v>10</v>
      </c>
      <c r="V85" s="110">
        <v>4</v>
      </c>
      <c r="W85" s="575" t="s">
        <v>45</v>
      </c>
      <c r="X85" s="574">
        <v>6</v>
      </c>
      <c r="Y85" s="575" t="s">
        <v>10</v>
      </c>
      <c r="Z85" s="110">
        <v>5</v>
      </c>
      <c r="AA85" s="575" t="s">
        <v>13</v>
      </c>
      <c r="AB85" s="576" t="s">
        <v>24</v>
      </c>
      <c r="AC85" s="577">
        <f t="shared" si="52"/>
        <v>2</v>
      </c>
      <c r="AD85" s="575" t="s">
        <v>38</v>
      </c>
      <c r="AE85" s="590" t="str">
        <f>IFERROR(ROUNDDOWN(ROUND(L83*R85,0)*M83,0)*AC85,"")</f>
        <v/>
      </c>
      <c r="AF85" s="579" t="str">
        <f>IFERROR(ROUNDDOWN(ROUND(L83*(R85-P85),0)*M83,0)*AC85,"")</f>
        <v/>
      </c>
      <c r="AG85" s="580">
        <f t="shared" si="66"/>
        <v>0</v>
      </c>
      <c r="AH85" s="459"/>
      <c r="AI85" s="460"/>
      <c r="AJ85" s="461"/>
      <c r="AK85" s="462"/>
      <c r="AL85" s="463"/>
      <c r="AM85" s="464"/>
      <c r="AN85" s="581" t="str">
        <f t="shared" ref="AN85" si="107">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82" t="str">
        <f>IF(K83&lt;&gt;"","P列・R列に色付け","")</f>
        <v/>
      </c>
      <c r="AQ85" s="583"/>
      <c r="AR85" s="583"/>
      <c r="AX85" s="584"/>
      <c r="AY85" s="543" t="str">
        <f>G83</f>
        <v/>
      </c>
    </row>
    <row r="86" spans="1:51" ht="32.1" customHeight="1">
      <c r="A86" s="1225">
        <v>25</v>
      </c>
      <c r="B86" s="1222" t="str">
        <f>IF(基本情報入力シート!C78="","",基本情報入力シート!C78)</f>
        <v/>
      </c>
      <c r="C86" s="1222"/>
      <c r="D86" s="1222"/>
      <c r="E86" s="1222"/>
      <c r="F86" s="1222"/>
      <c r="G86" s="1234" t="str">
        <f>IF(基本情報入力シート!M78="","",基本情報入力シート!M78)</f>
        <v/>
      </c>
      <c r="H86" s="1234" t="str">
        <f>IF(基本情報入力シート!R78="","",基本情報入力シート!R78)</f>
        <v/>
      </c>
      <c r="I86" s="1234" t="str">
        <f>IF(基本情報入力シート!W78="","",基本情報入力シート!W78)</f>
        <v/>
      </c>
      <c r="J86" s="1234" t="str">
        <f>IF(基本情報入力シート!X78="","",基本情報入力シート!X78)</f>
        <v/>
      </c>
      <c r="K86" s="1234" t="str">
        <f>IF(基本情報入力シート!Y78="","",基本情報入力シート!Y78)</f>
        <v/>
      </c>
      <c r="L86" s="1237" t="str">
        <f>IF(基本情報入力シート!AB78="","",基本情報入力シート!AB78)</f>
        <v/>
      </c>
      <c r="M86" s="1292" t="str">
        <f>IF(基本情報入力シート!AC78="","",基本情報入力シート!AC78)</f>
        <v/>
      </c>
      <c r="N86" s="547" t="s">
        <v>183</v>
      </c>
      <c r="O86" s="151"/>
      <c r="P86" s="548" t="str">
        <f>IFERROR(VLOOKUP(K86,【参考】数式用!$A$5:$J$27,MATCH(O86,【参考】数式用!$B$4:$J$4,0)+1,0),"")</f>
        <v/>
      </c>
      <c r="Q86" s="151"/>
      <c r="R86" s="548" t="str">
        <f>IFERROR(VLOOKUP(K86,【参考】数式用!$A$5:$J$27,MATCH(Q86,【参考】数式用!$B$4:$J$4,0)+1,0),"")</f>
        <v/>
      </c>
      <c r="S86" s="549" t="s">
        <v>19</v>
      </c>
      <c r="T86" s="550">
        <v>6</v>
      </c>
      <c r="U86" s="202" t="s">
        <v>10</v>
      </c>
      <c r="V86" s="71">
        <v>4</v>
      </c>
      <c r="W86" s="202" t="s">
        <v>45</v>
      </c>
      <c r="X86" s="550">
        <v>6</v>
      </c>
      <c r="Y86" s="202" t="s">
        <v>10</v>
      </c>
      <c r="Z86" s="71">
        <v>5</v>
      </c>
      <c r="AA86" s="202" t="s">
        <v>13</v>
      </c>
      <c r="AB86" s="551" t="s">
        <v>24</v>
      </c>
      <c r="AC86" s="552">
        <f t="shared" si="52"/>
        <v>2</v>
      </c>
      <c r="AD86" s="202" t="s">
        <v>38</v>
      </c>
      <c r="AE86" s="553" t="str">
        <f>IFERROR(ROUNDDOWN(ROUND(L86*R86,0)*M86,0)*AC86,"")</f>
        <v/>
      </c>
      <c r="AF86" s="554" t="str">
        <f>IFERROR(ROUNDDOWN(ROUND(L86*(R86-P86),0)*M86,0)*AC86,"")</f>
        <v/>
      </c>
      <c r="AG86" s="555"/>
      <c r="AH86" s="465"/>
      <c r="AI86" s="473"/>
      <c r="AJ86" s="470"/>
      <c r="AK86" s="471"/>
      <c r="AL86" s="451"/>
      <c r="AM86" s="452"/>
      <c r="AN86" s="556" t="str">
        <f t="shared" ref="AN86" si="108">IF(AP86="","",IF(R86&lt;P86,"！加算の要件上は問題ありませんが、令和６年３月と比較して４・５月に加算率が下がる計画になっています。",""))</f>
        <v/>
      </c>
      <c r="AP86" s="557" t="str">
        <f>IF(K86&lt;&gt;"","P列・R列に色付け","")</f>
        <v/>
      </c>
      <c r="AQ86" s="558" t="str">
        <f>IFERROR(VLOOKUP(K86,【参考】数式用!$AJ$2:$AK$24,2,FALSE),"")</f>
        <v/>
      </c>
      <c r="AR86" s="560" t="str">
        <f>Q86&amp;Q87&amp;Q88</f>
        <v/>
      </c>
      <c r="AS86" s="558" t="str">
        <f t="shared" ref="AS86" si="109">IF(AG88&lt;&gt;0,IF(AH88="○","入力済","未入力"),"")</f>
        <v/>
      </c>
      <c r="AT86" s="559" t="str">
        <f>IF(OR(Q86="処遇加算Ⅰ",Q86="処遇加算Ⅱ"),IF(OR(AI86="○",AI86="令和６年度中に満たす"),"入力済","未入力"),"")</f>
        <v/>
      </c>
      <c r="AU86" s="560" t="str">
        <f>IF(Q86="処遇加算Ⅲ",IF(AJ86="○","入力済","未入力"),"")</f>
        <v/>
      </c>
      <c r="AV86" s="558" t="str">
        <f>IF(Q86="処遇加算Ⅰ",IF(OR(AK86="○",AK86="令和６年度中に満たす"),"入力済","未入力"),"")</f>
        <v/>
      </c>
      <c r="AW86" s="558"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43" t="str">
        <f>IF(Q87="特定加算Ⅰ",IF(AM87="","未入力","入力済"),"")</f>
        <v/>
      </c>
      <c r="AY86" s="543" t="str">
        <f>G86</f>
        <v/>
      </c>
    </row>
    <row r="87" spans="1:51" ht="32.1" customHeight="1">
      <c r="A87" s="1226"/>
      <c r="B87" s="1223"/>
      <c r="C87" s="1223"/>
      <c r="D87" s="1223"/>
      <c r="E87" s="1223"/>
      <c r="F87" s="1223"/>
      <c r="G87" s="1235"/>
      <c r="H87" s="1235"/>
      <c r="I87" s="1235"/>
      <c r="J87" s="1235"/>
      <c r="K87" s="1235"/>
      <c r="L87" s="1238"/>
      <c r="M87" s="1293"/>
      <c r="N87" s="561" t="s">
        <v>170</v>
      </c>
      <c r="O87" s="152"/>
      <c r="P87" s="562" t="str">
        <f>IFERROR(VLOOKUP(K86,【参考】数式用!$A$5:$J$27,MATCH(O87,【参考】数式用!$B$4:$J$4,0)+1,0),"")</f>
        <v/>
      </c>
      <c r="Q87" s="152"/>
      <c r="R87" s="562" t="str">
        <f>IFERROR(VLOOKUP(K86,【参考】数式用!$A$5:$J$27,MATCH(Q87,【参考】数式用!$B$4:$J$4,0)+1,0),"")</f>
        <v/>
      </c>
      <c r="S87" s="173" t="s">
        <v>19</v>
      </c>
      <c r="T87" s="563">
        <v>6</v>
      </c>
      <c r="U87" s="174" t="s">
        <v>10</v>
      </c>
      <c r="V87" s="109">
        <v>4</v>
      </c>
      <c r="W87" s="174" t="s">
        <v>45</v>
      </c>
      <c r="X87" s="563">
        <v>6</v>
      </c>
      <c r="Y87" s="174" t="s">
        <v>10</v>
      </c>
      <c r="Z87" s="109">
        <v>5</v>
      </c>
      <c r="AA87" s="174" t="s">
        <v>13</v>
      </c>
      <c r="AB87" s="564" t="s">
        <v>24</v>
      </c>
      <c r="AC87" s="565">
        <f t="shared" si="52"/>
        <v>2</v>
      </c>
      <c r="AD87" s="174" t="s">
        <v>38</v>
      </c>
      <c r="AE87" s="566" t="str">
        <f>IFERROR(ROUNDDOWN(ROUND(L86*R87,0)*M86,0)*AC87,"")</f>
        <v/>
      </c>
      <c r="AF87" s="567" t="str">
        <f>IFERROR(ROUNDDOWN(ROUND(L86*(R87-P87),0)*M86,0)*AC87,"")</f>
        <v/>
      </c>
      <c r="AG87" s="568"/>
      <c r="AH87" s="453"/>
      <c r="AI87" s="454"/>
      <c r="AJ87" s="455"/>
      <c r="AK87" s="456"/>
      <c r="AL87" s="457"/>
      <c r="AM87" s="458"/>
      <c r="AN87" s="569" t="str">
        <f t="shared" ref="AN87" si="110">IF(AP86="","",IF(OR(Z86=4,Z87=4,Z88=4),"！加算の要件上は問題ありませんが、算定期間の終わりが令和６年５月になっていません。区分変更の場合は、「基本情報入力シート」で同じ事業所を２行に分けて記入してください。",""))</f>
        <v/>
      </c>
      <c r="AO87" s="570"/>
      <c r="AP87" s="557" t="str">
        <f>IF(K86&lt;&gt;"","P列・R列に色付け","")</f>
        <v/>
      </c>
      <c r="AY87" s="543" t="str">
        <f>G86</f>
        <v/>
      </c>
    </row>
    <row r="88" spans="1:51" ht="32.1" customHeight="1" thickBot="1">
      <c r="A88" s="1227"/>
      <c r="B88" s="1224"/>
      <c r="C88" s="1224"/>
      <c r="D88" s="1224"/>
      <c r="E88" s="1224"/>
      <c r="F88" s="1224"/>
      <c r="G88" s="1236"/>
      <c r="H88" s="1236"/>
      <c r="I88" s="1236"/>
      <c r="J88" s="1236"/>
      <c r="K88" s="1236"/>
      <c r="L88" s="1239"/>
      <c r="M88" s="1294"/>
      <c r="N88" s="571" t="s">
        <v>140</v>
      </c>
      <c r="O88" s="155"/>
      <c r="P88" s="591" t="str">
        <f>IFERROR(VLOOKUP(K86,【参考】数式用!$A$5:$J$27,MATCH(O88,【参考】数式用!$B$4:$J$4,0)+1,0),"")</f>
        <v/>
      </c>
      <c r="Q88" s="153"/>
      <c r="R88" s="572" t="str">
        <f>IFERROR(VLOOKUP(K86,【参考】数式用!$A$5:$J$27,MATCH(Q88,【参考】数式用!$B$4:$J$4,0)+1,0),"")</f>
        <v/>
      </c>
      <c r="S88" s="573" t="s">
        <v>19</v>
      </c>
      <c r="T88" s="574">
        <v>6</v>
      </c>
      <c r="U88" s="575" t="s">
        <v>10</v>
      </c>
      <c r="V88" s="110">
        <v>4</v>
      </c>
      <c r="W88" s="575" t="s">
        <v>45</v>
      </c>
      <c r="X88" s="574">
        <v>6</v>
      </c>
      <c r="Y88" s="575" t="s">
        <v>10</v>
      </c>
      <c r="Z88" s="110">
        <v>5</v>
      </c>
      <c r="AA88" s="575" t="s">
        <v>13</v>
      </c>
      <c r="AB88" s="576" t="s">
        <v>24</v>
      </c>
      <c r="AC88" s="577">
        <f t="shared" si="52"/>
        <v>2</v>
      </c>
      <c r="AD88" s="575" t="s">
        <v>38</v>
      </c>
      <c r="AE88" s="590" t="str">
        <f>IFERROR(ROUNDDOWN(ROUND(L86*R88,0)*M86,0)*AC88,"")</f>
        <v/>
      </c>
      <c r="AF88" s="579" t="str">
        <f>IFERROR(ROUNDDOWN(ROUND(L86*(R88-P88),0)*M86,0)*AC88,"")</f>
        <v/>
      </c>
      <c r="AG88" s="580">
        <f t="shared" si="66"/>
        <v>0</v>
      </c>
      <c r="AH88" s="459"/>
      <c r="AI88" s="460"/>
      <c r="AJ88" s="461"/>
      <c r="AK88" s="462"/>
      <c r="AL88" s="463"/>
      <c r="AM88" s="464"/>
      <c r="AN88" s="581" t="str">
        <f t="shared" ref="AN88" si="111">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82" t="str">
        <f>IF(K86&lt;&gt;"","P列・R列に色付け","")</f>
        <v/>
      </c>
      <c r="AQ88" s="583"/>
      <c r="AR88" s="583"/>
      <c r="AX88" s="584"/>
      <c r="AY88" s="543" t="str">
        <f>G86</f>
        <v/>
      </c>
    </row>
    <row r="89" spans="1:51" ht="32.1" customHeight="1">
      <c r="A89" s="1225">
        <v>26</v>
      </c>
      <c r="B89" s="1222" t="str">
        <f>IF(基本情報入力シート!C79="","",基本情報入力シート!C79)</f>
        <v/>
      </c>
      <c r="C89" s="1222"/>
      <c r="D89" s="1222"/>
      <c r="E89" s="1222"/>
      <c r="F89" s="1222"/>
      <c r="G89" s="1234" t="str">
        <f>IF(基本情報入力シート!M79="","",基本情報入力シート!M79)</f>
        <v/>
      </c>
      <c r="H89" s="1234" t="str">
        <f>IF(基本情報入力シート!R79="","",基本情報入力シート!R79)</f>
        <v/>
      </c>
      <c r="I89" s="1234" t="str">
        <f>IF(基本情報入力シート!W79="","",基本情報入力シート!W79)</f>
        <v/>
      </c>
      <c r="J89" s="1234" t="str">
        <f>IF(基本情報入力シート!X79="","",基本情報入力シート!X79)</f>
        <v/>
      </c>
      <c r="K89" s="1234" t="str">
        <f>IF(基本情報入力シート!Y79="","",基本情報入力シート!Y79)</f>
        <v/>
      </c>
      <c r="L89" s="1237" t="str">
        <f>IF(基本情報入力シート!AB79="","",基本情報入力シート!AB79)</f>
        <v/>
      </c>
      <c r="M89" s="1292" t="str">
        <f>IF(基本情報入力シート!AC79="","",基本情報入力シート!AC79)</f>
        <v/>
      </c>
      <c r="N89" s="547" t="s">
        <v>183</v>
      </c>
      <c r="O89" s="151"/>
      <c r="P89" s="548" t="str">
        <f>IFERROR(VLOOKUP(K89,【参考】数式用!$A$5:$J$27,MATCH(O89,【参考】数式用!$B$4:$J$4,0)+1,0),"")</f>
        <v/>
      </c>
      <c r="Q89" s="151"/>
      <c r="R89" s="548" t="str">
        <f>IFERROR(VLOOKUP(K89,【参考】数式用!$A$5:$J$27,MATCH(Q89,【参考】数式用!$B$4:$J$4,0)+1,0),"")</f>
        <v/>
      </c>
      <c r="S89" s="549" t="s">
        <v>19</v>
      </c>
      <c r="T89" s="550">
        <v>6</v>
      </c>
      <c r="U89" s="202" t="s">
        <v>10</v>
      </c>
      <c r="V89" s="71">
        <v>4</v>
      </c>
      <c r="W89" s="202" t="s">
        <v>45</v>
      </c>
      <c r="X89" s="550">
        <v>6</v>
      </c>
      <c r="Y89" s="202" t="s">
        <v>10</v>
      </c>
      <c r="Z89" s="71">
        <v>5</v>
      </c>
      <c r="AA89" s="202" t="s">
        <v>13</v>
      </c>
      <c r="AB89" s="551" t="s">
        <v>24</v>
      </c>
      <c r="AC89" s="552">
        <f t="shared" si="52"/>
        <v>2</v>
      </c>
      <c r="AD89" s="202" t="s">
        <v>38</v>
      </c>
      <c r="AE89" s="553" t="str">
        <f>IFERROR(ROUNDDOWN(ROUND(L89*R89,0)*M89,0)*AC89,"")</f>
        <v/>
      </c>
      <c r="AF89" s="554" t="str">
        <f>IFERROR(ROUNDDOWN(ROUND(L89*(R89-P89),0)*M89,0)*AC89,"")</f>
        <v/>
      </c>
      <c r="AG89" s="555"/>
      <c r="AH89" s="465"/>
      <c r="AI89" s="473"/>
      <c r="AJ89" s="470"/>
      <c r="AK89" s="471"/>
      <c r="AL89" s="451"/>
      <c r="AM89" s="452"/>
      <c r="AN89" s="556" t="str">
        <f t="shared" ref="AN89" si="112">IF(AP89="","",IF(R89&lt;P89,"！加算の要件上は問題ありませんが、令和６年３月と比較して４・５月に加算率が下がる計画になっています。",""))</f>
        <v/>
      </c>
      <c r="AP89" s="557" t="str">
        <f>IF(K89&lt;&gt;"","P列・R列に色付け","")</f>
        <v/>
      </c>
      <c r="AQ89" s="558" t="str">
        <f>IFERROR(VLOOKUP(K89,【参考】数式用!$AJ$2:$AK$24,2,FALSE),"")</f>
        <v/>
      </c>
      <c r="AR89" s="560" t="str">
        <f>Q89&amp;Q90&amp;Q91</f>
        <v/>
      </c>
      <c r="AS89" s="558" t="str">
        <f t="shared" ref="AS89" si="113">IF(AG91&lt;&gt;0,IF(AH91="○","入力済","未入力"),"")</f>
        <v/>
      </c>
      <c r="AT89" s="559" t="str">
        <f>IF(OR(Q89="処遇加算Ⅰ",Q89="処遇加算Ⅱ"),IF(OR(AI89="○",AI89="令和６年度中に満たす"),"入力済","未入力"),"")</f>
        <v/>
      </c>
      <c r="AU89" s="560" t="str">
        <f>IF(Q89="処遇加算Ⅲ",IF(AJ89="○","入力済","未入力"),"")</f>
        <v/>
      </c>
      <c r="AV89" s="558" t="str">
        <f>IF(Q89="処遇加算Ⅰ",IF(OR(AK89="○",AK89="令和６年度中に満たす"),"入力済","未入力"),"")</f>
        <v/>
      </c>
      <c r="AW89" s="558"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43" t="str">
        <f>IF(Q90="特定加算Ⅰ",IF(AM90="","未入力","入力済"),"")</f>
        <v/>
      </c>
      <c r="AY89" s="543" t="str">
        <f>G89</f>
        <v/>
      </c>
    </row>
    <row r="90" spans="1:51" ht="32.1" customHeight="1">
      <c r="A90" s="1226"/>
      <c r="B90" s="1223"/>
      <c r="C90" s="1223"/>
      <c r="D90" s="1223"/>
      <c r="E90" s="1223"/>
      <c r="F90" s="1223"/>
      <c r="G90" s="1235"/>
      <c r="H90" s="1235"/>
      <c r="I90" s="1235"/>
      <c r="J90" s="1235"/>
      <c r="K90" s="1235"/>
      <c r="L90" s="1238"/>
      <c r="M90" s="1293"/>
      <c r="N90" s="561" t="s">
        <v>170</v>
      </c>
      <c r="O90" s="152"/>
      <c r="P90" s="562" t="str">
        <f>IFERROR(VLOOKUP(K89,【参考】数式用!$A$5:$J$27,MATCH(O90,【参考】数式用!$B$4:$J$4,0)+1,0),"")</f>
        <v/>
      </c>
      <c r="Q90" s="152"/>
      <c r="R90" s="562" t="str">
        <f>IFERROR(VLOOKUP(K89,【参考】数式用!$A$5:$J$27,MATCH(Q90,【参考】数式用!$B$4:$J$4,0)+1,0),"")</f>
        <v/>
      </c>
      <c r="S90" s="173" t="s">
        <v>19</v>
      </c>
      <c r="T90" s="563">
        <v>6</v>
      </c>
      <c r="U90" s="174" t="s">
        <v>10</v>
      </c>
      <c r="V90" s="109">
        <v>4</v>
      </c>
      <c r="W90" s="174" t="s">
        <v>45</v>
      </c>
      <c r="X90" s="563">
        <v>6</v>
      </c>
      <c r="Y90" s="174" t="s">
        <v>10</v>
      </c>
      <c r="Z90" s="109">
        <v>5</v>
      </c>
      <c r="AA90" s="174" t="s">
        <v>13</v>
      </c>
      <c r="AB90" s="564" t="s">
        <v>24</v>
      </c>
      <c r="AC90" s="565">
        <f t="shared" si="52"/>
        <v>2</v>
      </c>
      <c r="AD90" s="174" t="s">
        <v>38</v>
      </c>
      <c r="AE90" s="566" t="str">
        <f>IFERROR(ROUNDDOWN(ROUND(L89*R90,0)*M89,0)*AC90,"")</f>
        <v/>
      </c>
      <c r="AF90" s="567" t="str">
        <f>IFERROR(ROUNDDOWN(ROUND(L89*(R90-P90),0)*M89,0)*AC90,"")</f>
        <v/>
      </c>
      <c r="AG90" s="568"/>
      <c r="AH90" s="453"/>
      <c r="AI90" s="454"/>
      <c r="AJ90" s="455"/>
      <c r="AK90" s="456"/>
      <c r="AL90" s="457"/>
      <c r="AM90" s="458"/>
      <c r="AN90" s="569" t="str">
        <f t="shared" ref="AN90" si="114">IF(AP89="","",IF(OR(Z89=4,Z90=4,Z91=4),"！加算の要件上は問題ありませんが、算定期間の終わりが令和６年５月になっていません。区分変更の場合は、「基本情報入力シート」で同じ事業所を２行に分けて記入してください。",""))</f>
        <v/>
      </c>
      <c r="AO90" s="570"/>
      <c r="AP90" s="557" t="str">
        <f>IF(K89&lt;&gt;"","P列・R列に色付け","")</f>
        <v/>
      </c>
      <c r="AY90" s="543" t="str">
        <f>G89</f>
        <v/>
      </c>
    </row>
    <row r="91" spans="1:51" ht="32.1" customHeight="1" thickBot="1">
      <c r="A91" s="1227"/>
      <c r="B91" s="1224"/>
      <c r="C91" s="1224"/>
      <c r="D91" s="1224"/>
      <c r="E91" s="1224"/>
      <c r="F91" s="1224"/>
      <c r="G91" s="1236"/>
      <c r="H91" s="1236"/>
      <c r="I91" s="1236"/>
      <c r="J91" s="1236"/>
      <c r="K91" s="1236"/>
      <c r="L91" s="1239"/>
      <c r="M91" s="1294"/>
      <c r="N91" s="571" t="s">
        <v>140</v>
      </c>
      <c r="O91" s="155"/>
      <c r="P91" s="591" t="str">
        <f>IFERROR(VLOOKUP(K89,【参考】数式用!$A$5:$J$27,MATCH(O91,【参考】数式用!$B$4:$J$4,0)+1,0),"")</f>
        <v/>
      </c>
      <c r="Q91" s="153"/>
      <c r="R91" s="572" t="str">
        <f>IFERROR(VLOOKUP(K89,【参考】数式用!$A$5:$J$27,MATCH(Q91,【参考】数式用!$B$4:$J$4,0)+1,0),"")</f>
        <v/>
      </c>
      <c r="S91" s="573" t="s">
        <v>19</v>
      </c>
      <c r="T91" s="574">
        <v>6</v>
      </c>
      <c r="U91" s="575" t="s">
        <v>10</v>
      </c>
      <c r="V91" s="110">
        <v>4</v>
      </c>
      <c r="W91" s="575" t="s">
        <v>45</v>
      </c>
      <c r="X91" s="574">
        <v>6</v>
      </c>
      <c r="Y91" s="575" t="s">
        <v>10</v>
      </c>
      <c r="Z91" s="110">
        <v>5</v>
      </c>
      <c r="AA91" s="575" t="s">
        <v>13</v>
      </c>
      <c r="AB91" s="576" t="s">
        <v>24</v>
      </c>
      <c r="AC91" s="577">
        <f t="shared" si="52"/>
        <v>2</v>
      </c>
      <c r="AD91" s="575" t="s">
        <v>38</v>
      </c>
      <c r="AE91" s="590" t="str">
        <f>IFERROR(ROUNDDOWN(ROUND(L89*R91,0)*M89,0)*AC91,"")</f>
        <v/>
      </c>
      <c r="AF91" s="579" t="str">
        <f>IFERROR(ROUNDDOWN(ROUND(L89*(R91-P91),0)*M89,0)*AC91,"")</f>
        <v/>
      </c>
      <c r="AG91" s="580">
        <f t="shared" si="66"/>
        <v>0</v>
      </c>
      <c r="AH91" s="459"/>
      <c r="AI91" s="460"/>
      <c r="AJ91" s="461"/>
      <c r="AK91" s="462"/>
      <c r="AL91" s="463"/>
      <c r="AM91" s="464"/>
      <c r="AN91" s="581" t="str">
        <f t="shared" ref="AN91" si="115">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82" t="str">
        <f>IF(K89&lt;&gt;"","P列・R列に色付け","")</f>
        <v/>
      </c>
      <c r="AQ91" s="583"/>
      <c r="AR91" s="583"/>
      <c r="AX91" s="584"/>
      <c r="AY91" s="543" t="str">
        <f>G89</f>
        <v/>
      </c>
    </row>
    <row r="92" spans="1:51" ht="32.1" customHeight="1">
      <c r="A92" s="1225">
        <v>27</v>
      </c>
      <c r="B92" s="1222" t="str">
        <f>IF(基本情報入力シート!C80="","",基本情報入力シート!C80)</f>
        <v/>
      </c>
      <c r="C92" s="1222"/>
      <c r="D92" s="1222"/>
      <c r="E92" s="1222"/>
      <c r="F92" s="1222"/>
      <c r="G92" s="1234" t="str">
        <f>IF(基本情報入力シート!M80="","",基本情報入力シート!M80)</f>
        <v/>
      </c>
      <c r="H92" s="1234" t="str">
        <f>IF(基本情報入力シート!R80="","",基本情報入力シート!R80)</f>
        <v/>
      </c>
      <c r="I92" s="1234" t="str">
        <f>IF(基本情報入力シート!W80="","",基本情報入力シート!W80)</f>
        <v/>
      </c>
      <c r="J92" s="1234" t="str">
        <f>IF(基本情報入力シート!X80="","",基本情報入力シート!X80)</f>
        <v/>
      </c>
      <c r="K92" s="1234" t="str">
        <f>IF(基本情報入力シート!Y80="","",基本情報入力シート!Y80)</f>
        <v/>
      </c>
      <c r="L92" s="1237" t="str">
        <f>IF(基本情報入力シート!AB80="","",基本情報入力シート!AB80)</f>
        <v/>
      </c>
      <c r="M92" s="1292" t="str">
        <f>IF(基本情報入力シート!AC80="","",基本情報入力シート!AC80)</f>
        <v/>
      </c>
      <c r="N92" s="547" t="s">
        <v>183</v>
      </c>
      <c r="O92" s="151"/>
      <c r="P92" s="548" t="str">
        <f>IFERROR(VLOOKUP(K92,【参考】数式用!$A$5:$J$27,MATCH(O92,【参考】数式用!$B$4:$J$4,0)+1,0),"")</f>
        <v/>
      </c>
      <c r="Q92" s="151"/>
      <c r="R92" s="548" t="str">
        <f>IFERROR(VLOOKUP(K92,【参考】数式用!$A$5:$J$27,MATCH(Q92,【参考】数式用!$B$4:$J$4,0)+1,0),"")</f>
        <v/>
      </c>
      <c r="S92" s="549" t="s">
        <v>19</v>
      </c>
      <c r="T92" s="550">
        <v>6</v>
      </c>
      <c r="U92" s="202" t="s">
        <v>10</v>
      </c>
      <c r="V92" s="71">
        <v>4</v>
      </c>
      <c r="W92" s="202" t="s">
        <v>45</v>
      </c>
      <c r="X92" s="550">
        <v>6</v>
      </c>
      <c r="Y92" s="202" t="s">
        <v>10</v>
      </c>
      <c r="Z92" s="71">
        <v>5</v>
      </c>
      <c r="AA92" s="202" t="s">
        <v>13</v>
      </c>
      <c r="AB92" s="551" t="s">
        <v>24</v>
      </c>
      <c r="AC92" s="552">
        <f t="shared" si="52"/>
        <v>2</v>
      </c>
      <c r="AD92" s="202" t="s">
        <v>38</v>
      </c>
      <c r="AE92" s="553" t="str">
        <f>IFERROR(ROUNDDOWN(ROUND(L92*R92,0)*M92,0)*AC92,"")</f>
        <v/>
      </c>
      <c r="AF92" s="554" t="str">
        <f>IFERROR(ROUNDDOWN(ROUND(L92*(R92-P92),0)*M92,0)*AC92,"")</f>
        <v/>
      </c>
      <c r="AG92" s="555"/>
      <c r="AH92" s="465"/>
      <c r="AI92" s="473"/>
      <c r="AJ92" s="470"/>
      <c r="AK92" s="471"/>
      <c r="AL92" s="451"/>
      <c r="AM92" s="452"/>
      <c r="AN92" s="556" t="str">
        <f t="shared" ref="AN92" si="116">IF(AP92="","",IF(R92&lt;P92,"！加算の要件上は問題ありませんが、令和６年３月と比較して４・５月に加算率が下がる計画になっています。",""))</f>
        <v/>
      </c>
      <c r="AP92" s="557" t="str">
        <f>IF(K92&lt;&gt;"","P列・R列に色付け","")</f>
        <v/>
      </c>
      <c r="AQ92" s="558" t="str">
        <f>IFERROR(VLOOKUP(K92,【参考】数式用!$AJ$2:$AK$24,2,FALSE),"")</f>
        <v/>
      </c>
      <c r="AR92" s="560" t="str">
        <f>Q92&amp;Q93&amp;Q94</f>
        <v/>
      </c>
      <c r="AS92" s="558" t="str">
        <f t="shared" ref="AS92" si="117">IF(AG94&lt;&gt;0,IF(AH94="○","入力済","未入力"),"")</f>
        <v/>
      </c>
      <c r="AT92" s="559" t="str">
        <f>IF(OR(Q92="処遇加算Ⅰ",Q92="処遇加算Ⅱ"),IF(OR(AI92="○",AI92="令和６年度中に満たす"),"入力済","未入力"),"")</f>
        <v/>
      </c>
      <c r="AU92" s="560" t="str">
        <f>IF(Q92="処遇加算Ⅲ",IF(AJ92="○","入力済","未入力"),"")</f>
        <v/>
      </c>
      <c r="AV92" s="558" t="str">
        <f>IF(Q92="処遇加算Ⅰ",IF(OR(AK92="○",AK92="令和６年度中に満たす"),"入力済","未入力"),"")</f>
        <v/>
      </c>
      <c r="AW92" s="558"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43" t="str">
        <f>IF(Q93="特定加算Ⅰ",IF(AM93="","未入力","入力済"),"")</f>
        <v/>
      </c>
      <c r="AY92" s="543" t="str">
        <f>G92</f>
        <v/>
      </c>
    </row>
    <row r="93" spans="1:51" ht="32.1" customHeight="1">
      <c r="A93" s="1226"/>
      <c r="B93" s="1223"/>
      <c r="C93" s="1223"/>
      <c r="D93" s="1223"/>
      <c r="E93" s="1223"/>
      <c r="F93" s="1223"/>
      <c r="G93" s="1235"/>
      <c r="H93" s="1235"/>
      <c r="I93" s="1235"/>
      <c r="J93" s="1235"/>
      <c r="K93" s="1235"/>
      <c r="L93" s="1238"/>
      <c r="M93" s="1293"/>
      <c r="N93" s="561" t="s">
        <v>170</v>
      </c>
      <c r="O93" s="152"/>
      <c r="P93" s="562" t="str">
        <f>IFERROR(VLOOKUP(K92,【参考】数式用!$A$5:$J$27,MATCH(O93,【参考】数式用!$B$4:$J$4,0)+1,0),"")</f>
        <v/>
      </c>
      <c r="Q93" s="152"/>
      <c r="R93" s="562" t="str">
        <f>IFERROR(VLOOKUP(K92,【参考】数式用!$A$5:$J$27,MATCH(Q93,【参考】数式用!$B$4:$J$4,0)+1,0),"")</f>
        <v/>
      </c>
      <c r="S93" s="173" t="s">
        <v>19</v>
      </c>
      <c r="T93" s="563">
        <v>6</v>
      </c>
      <c r="U93" s="174" t="s">
        <v>10</v>
      </c>
      <c r="V93" s="109">
        <v>4</v>
      </c>
      <c r="W93" s="174" t="s">
        <v>45</v>
      </c>
      <c r="X93" s="563">
        <v>6</v>
      </c>
      <c r="Y93" s="174" t="s">
        <v>10</v>
      </c>
      <c r="Z93" s="109">
        <v>5</v>
      </c>
      <c r="AA93" s="174" t="s">
        <v>13</v>
      </c>
      <c r="AB93" s="564" t="s">
        <v>24</v>
      </c>
      <c r="AC93" s="565">
        <f t="shared" si="52"/>
        <v>2</v>
      </c>
      <c r="AD93" s="174" t="s">
        <v>38</v>
      </c>
      <c r="AE93" s="566" t="str">
        <f>IFERROR(ROUNDDOWN(ROUND(L92*R93,0)*M92,0)*AC93,"")</f>
        <v/>
      </c>
      <c r="AF93" s="567" t="str">
        <f>IFERROR(ROUNDDOWN(ROUND(L92*(R93-P93),0)*M92,0)*AC93,"")</f>
        <v/>
      </c>
      <c r="AG93" s="568"/>
      <c r="AH93" s="453"/>
      <c r="AI93" s="454"/>
      <c r="AJ93" s="455"/>
      <c r="AK93" s="456"/>
      <c r="AL93" s="457"/>
      <c r="AM93" s="458"/>
      <c r="AN93" s="569" t="str">
        <f t="shared" ref="AN93" si="118">IF(AP92="","",IF(OR(Z92=4,Z93=4,Z94=4),"！加算の要件上は問題ありませんが、算定期間の終わりが令和６年５月になっていません。区分変更の場合は、「基本情報入力シート」で同じ事業所を２行に分けて記入してください。",""))</f>
        <v/>
      </c>
      <c r="AO93" s="570"/>
      <c r="AP93" s="557" t="str">
        <f>IF(K92&lt;&gt;"","P列・R列に色付け","")</f>
        <v/>
      </c>
      <c r="AY93" s="543" t="str">
        <f>G92</f>
        <v/>
      </c>
    </row>
    <row r="94" spans="1:51" ht="32.1" customHeight="1" thickBot="1">
      <c r="A94" s="1227"/>
      <c r="B94" s="1224"/>
      <c r="C94" s="1224"/>
      <c r="D94" s="1224"/>
      <c r="E94" s="1224"/>
      <c r="F94" s="1224"/>
      <c r="G94" s="1236"/>
      <c r="H94" s="1236"/>
      <c r="I94" s="1236"/>
      <c r="J94" s="1236"/>
      <c r="K94" s="1236"/>
      <c r="L94" s="1239"/>
      <c r="M94" s="1294"/>
      <c r="N94" s="571" t="s">
        <v>140</v>
      </c>
      <c r="O94" s="155"/>
      <c r="P94" s="591" t="str">
        <f>IFERROR(VLOOKUP(K92,【参考】数式用!$A$5:$J$27,MATCH(O94,【参考】数式用!$B$4:$J$4,0)+1,0),"")</f>
        <v/>
      </c>
      <c r="Q94" s="153"/>
      <c r="R94" s="572" t="str">
        <f>IFERROR(VLOOKUP(K92,【参考】数式用!$A$5:$J$27,MATCH(Q94,【参考】数式用!$B$4:$J$4,0)+1,0),"")</f>
        <v/>
      </c>
      <c r="S94" s="573" t="s">
        <v>19</v>
      </c>
      <c r="T94" s="574">
        <v>6</v>
      </c>
      <c r="U94" s="575" t="s">
        <v>10</v>
      </c>
      <c r="V94" s="110">
        <v>4</v>
      </c>
      <c r="W94" s="575" t="s">
        <v>45</v>
      </c>
      <c r="X94" s="574">
        <v>6</v>
      </c>
      <c r="Y94" s="575" t="s">
        <v>10</v>
      </c>
      <c r="Z94" s="110">
        <v>5</v>
      </c>
      <c r="AA94" s="575" t="s">
        <v>13</v>
      </c>
      <c r="AB94" s="576" t="s">
        <v>24</v>
      </c>
      <c r="AC94" s="577">
        <f t="shared" si="52"/>
        <v>2</v>
      </c>
      <c r="AD94" s="575" t="s">
        <v>38</v>
      </c>
      <c r="AE94" s="590" t="str">
        <f>IFERROR(ROUNDDOWN(ROUND(L92*R94,0)*M92,0)*AC94,"")</f>
        <v/>
      </c>
      <c r="AF94" s="579" t="str">
        <f>IFERROR(ROUNDDOWN(ROUND(L92*(R94-P94),0)*M92,0)*AC94,"")</f>
        <v/>
      </c>
      <c r="AG94" s="580">
        <f t="shared" si="66"/>
        <v>0</v>
      </c>
      <c r="AH94" s="459"/>
      <c r="AI94" s="460"/>
      <c r="AJ94" s="461"/>
      <c r="AK94" s="462"/>
      <c r="AL94" s="463"/>
      <c r="AM94" s="464"/>
      <c r="AN94" s="581" t="str">
        <f t="shared" ref="AN94" si="119">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82" t="str">
        <f>IF(K92&lt;&gt;"","P列・R列に色付け","")</f>
        <v/>
      </c>
      <c r="AQ94" s="583"/>
      <c r="AR94" s="583"/>
      <c r="AX94" s="584"/>
      <c r="AY94" s="543" t="str">
        <f>G92</f>
        <v/>
      </c>
    </row>
    <row r="95" spans="1:51" ht="32.1" customHeight="1">
      <c r="A95" s="1225">
        <v>28</v>
      </c>
      <c r="B95" s="1222" t="str">
        <f>IF(基本情報入力シート!C81="","",基本情報入力シート!C81)</f>
        <v/>
      </c>
      <c r="C95" s="1222"/>
      <c r="D95" s="1222"/>
      <c r="E95" s="1222"/>
      <c r="F95" s="1222"/>
      <c r="G95" s="1234" t="str">
        <f>IF(基本情報入力シート!M81="","",基本情報入力シート!M81)</f>
        <v/>
      </c>
      <c r="H95" s="1234" t="str">
        <f>IF(基本情報入力シート!R81="","",基本情報入力シート!R81)</f>
        <v/>
      </c>
      <c r="I95" s="1234" t="str">
        <f>IF(基本情報入力シート!W81="","",基本情報入力シート!W81)</f>
        <v/>
      </c>
      <c r="J95" s="1234" t="str">
        <f>IF(基本情報入力シート!X81="","",基本情報入力シート!X81)</f>
        <v/>
      </c>
      <c r="K95" s="1234" t="str">
        <f>IF(基本情報入力シート!Y81="","",基本情報入力シート!Y81)</f>
        <v/>
      </c>
      <c r="L95" s="1237" t="str">
        <f>IF(基本情報入力シート!AB81="","",基本情報入力シート!AB81)</f>
        <v/>
      </c>
      <c r="M95" s="1292" t="str">
        <f>IF(基本情報入力シート!AC81="","",基本情報入力シート!AC81)</f>
        <v/>
      </c>
      <c r="N95" s="547" t="s">
        <v>183</v>
      </c>
      <c r="O95" s="151"/>
      <c r="P95" s="548" t="str">
        <f>IFERROR(VLOOKUP(K95,【参考】数式用!$A$5:$J$27,MATCH(O95,【参考】数式用!$B$4:$J$4,0)+1,0),"")</f>
        <v/>
      </c>
      <c r="Q95" s="151"/>
      <c r="R95" s="548" t="str">
        <f>IFERROR(VLOOKUP(K95,【参考】数式用!$A$5:$J$27,MATCH(Q95,【参考】数式用!$B$4:$J$4,0)+1,0),"")</f>
        <v/>
      </c>
      <c r="S95" s="549" t="s">
        <v>19</v>
      </c>
      <c r="T95" s="550">
        <v>6</v>
      </c>
      <c r="U95" s="202" t="s">
        <v>10</v>
      </c>
      <c r="V95" s="71">
        <v>4</v>
      </c>
      <c r="W95" s="202" t="s">
        <v>45</v>
      </c>
      <c r="X95" s="550">
        <v>6</v>
      </c>
      <c r="Y95" s="202" t="s">
        <v>10</v>
      </c>
      <c r="Z95" s="71">
        <v>5</v>
      </c>
      <c r="AA95" s="202" t="s">
        <v>13</v>
      </c>
      <c r="AB95" s="551" t="s">
        <v>24</v>
      </c>
      <c r="AC95" s="552">
        <f t="shared" ref="AC95:AC158" si="120">IF(V95&gt;=1,(X95*12+Z95)-(T95*12+V95)+1,"")</f>
        <v>2</v>
      </c>
      <c r="AD95" s="202" t="s">
        <v>38</v>
      </c>
      <c r="AE95" s="553" t="str">
        <f>IFERROR(ROUNDDOWN(ROUND(L95*R95,0)*M95,0)*AC95,"")</f>
        <v/>
      </c>
      <c r="AF95" s="554" t="str">
        <f>IFERROR(ROUNDDOWN(ROUND(L95*(R95-P95),0)*M95,0)*AC95,"")</f>
        <v/>
      </c>
      <c r="AG95" s="555"/>
      <c r="AH95" s="465"/>
      <c r="AI95" s="473"/>
      <c r="AJ95" s="470"/>
      <c r="AK95" s="471"/>
      <c r="AL95" s="451"/>
      <c r="AM95" s="452"/>
      <c r="AN95" s="556" t="str">
        <f t="shared" ref="AN95" si="121">IF(AP95="","",IF(R95&lt;P95,"！加算の要件上は問題ありませんが、令和６年３月と比較して４・５月に加算率が下がる計画になっています。",""))</f>
        <v/>
      </c>
      <c r="AP95" s="557" t="str">
        <f>IF(K95&lt;&gt;"","P列・R列に色付け","")</f>
        <v/>
      </c>
      <c r="AQ95" s="558" t="str">
        <f>IFERROR(VLOOKUP(K95,【参考】数式用!$AJ$2:$AK$24,2,FALSE),"")</f>
        <v/>
      </c>
      <c r="AR95" s="560" t="str">
        <f>Q95&amp;Q96&amp;Q97</f>
        <v/>
      </c>
      <c r="AS95" s="558" t="str">
        <f t="shared" ref="AS95" si="122">IF(AG97&lt;&gt;0,IF(AH97="○","入力済","未入力"),"")</f>
        <v/>
      </c>
      <c r="AT95" s="559" t="str">
        <f>IF(OR(Q95="処遇加算Ⅰ",Q95="処遇加算Ⅱ"),IF(OR(AI95="○",AI95="令和６年度中に満たす"),"入力済","未入力"),"")</f>
        <v/>
      </c>
      <c r="AU95" s="560" t="str">
        <f>IF(Q95="処遇加算Ⅲ",IF(AJ95="○","入力済","未入力"),"")</f>
        <v/>
      </c>
      <c r="AV95" s="558" t="str">
        <f>IF(Q95="処遇加算Ⅰ",IF(OR(AK95="○",AK95="令和６年度中に満たす"),"入力済","未入力"),"")</f>
        <v/>
      </c>
      <c r="AW95" s="558"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43" t="str">
        <f>IF(Q96="特定加算Ⅰ",IF(AM96="","未入力","入力済"),"")</f>
        <v/>
      </c>
      <c r="AY95" s="543" t="str">
        <f>G95</f>
        <v/>
      </c>
    </row>
    <row r="96" spans="1:51" ht="32.1" customHeight="1">
      <c r="A96" s="1226"/>
      <c r="B96" s="1223"/>
      <c r="C96" s="1223"/>
      <c r="D96" s="1223"/>
      <c r="E96" s="1223"/>
      <c r="F96" s="1223"/>
      <c r="G96" s="1235"/>
      <c r="H96" s="1235"/>
      <c r="I96" s="1235"/>
      <c r="J96" s="1235"/>
      <c r="K96" s="1235"/>
      <c r="L96" s="1238"/>
      <c r="M96" s="1293"/>
      <c r="N96" s="561" t="s">
        <v>170</v>
      </c>
      <c r="O96" s="152"/>
      <c r="P96" s="562" t="str">
        <f>IFERROR(VLOOKUP(K95,【参考】数式用!$A$5:$J$27,MATCH(O96,【参考】数式用!$B$4:$J$4,0)+1,0),"")</f>
        <v/>
      </c>
      <c r="Q96" s="152"/>
      <c r="R96" s="562" t="str">
        <f>IFERROR(VLOOKUP(K95,【参考】数式用!$A$5:$J$27,MATCH(Q96,【参考】数式用!$B$4:$J$4,0)+1,0),"")</f>
        <v/>
      </c>
      <c r="S96" s="173" t="s">
        <v>19</v>
      </c>
      <c r="T96" s="563">
        <v>6</v>
      </c>
      <c r="U96" s="174" t="s">
        <v>10</v>
      </c>
      <c r="V96" s="109">
        <v>4</v>
      </c>
      <c r="W96" s="174" t="s">
        <v>45</v>
      </c>
      <c r="X96" s="563">
        <v>6</v>
      </c>
      <c r="Y96" s="174" t="s">
        <v>10</v>
      </c>
      <c r="Z96" s="109">
        <v>5</v>
      </c>
      <c r="AA96" s="174" t="s">
        <v>13</v>
      </c>
      <c r="AB96" s="564" t="s">
        <v>24</v>
      </c>
      <c r="AC96" s="565">
        <f t="shared" si="120"/>
        <v>2</v>
      </c>
      <c r="AD96" s="174" t="s">
        <v>38</v>
      </c>
      <c r="AE96" s="566" t="str">
        <f>IFERROR(ROUNDDOWN(ROUND(L95*R96,0)*M95,0)*AC96,"")</f>
        <v/>
      </c>
      <c r="AF96" s="567" t="str">
        <f>IFERROR(ROUNDDOWN(ROUND(L95*(R96-P96),0)*M95,0)*AC96,"")</f>
        <v/>
      </c>
      <c r="AG96" s="568"/>
      <c r="AH96" s="453"/>
      <c r="AI96" s="454"/>
      <c r="AJ96" s="455"/>
      <c r="AK96" s="456"/>
      <c r="AL96" s="457"/>
      <c r="AM96" s="458"/>
      <c r="AN96" s="569" t="str">
        <f t="shared" ref="AN96" si="123">IF(AP95="","",IF(OR(Z95=4,Z96=4,Z97=4),"！加算の要件上は問題ありませんが、算定期間の終わりが令和６年５月になっていません。区分変更の場合は、「基本情報入力シート」で同じ事業所を２行に分けて記入してください。",""))</f>
        <v/>
      </c>
      <c r="AO96" s="570"/>
      <c r="AP96" s="557" t="str">
        <f>IF(K95&lt;&gt;"","P列・R列に色付け","")</f>
        <v/>
      </c>
      <c r="AY96" s="543" t="str">
        <f>G95</f>
        <v/>
      </c>
    </row>
    <row r="97" spans="1:51" ht="32.1" customHeight="1" thickBot="1">
      <c r="A97" s="1227"/>
      <c r="B97" s="1224"/>
      <c r="C97" s="1224"/>
      <c r="D97" s="1224"/>
      <c r="E97" s="1224"/>
      <c r="F97" s="1224"/>
      <c r="G97" s="1236"/>
      <c r="H97" s="1236"/>
      <c r="I97" s="1236"/>
      <c r="J97" s="1236"/>
      <c r="K97" s="1236"/>
      <c r="L97" s="1239"/>
      <c r="M97" s="1294"/>
      <c r="N97" s="571" t="s">
        <v>140</v>
      </c>
      <c r="O97" s="155"/>
      <c r="P97" s="591" t="str">
        <f>IFERROR(VLOOKUP(K95,【参考】数式用!$A$5:$J$27,MATCH(O97,【参考】数式用!$B$4:$J$4,0)+1,0),"")</f>
        <v/>
      </c>
      <c r="Q97" s="153"/>
      <c r="R97" s="572" t="str">
        <f>IFERROR(VLOOKUP(K95,【参考】数式用!$A$5:$J$27,MATCH(Q97,【参考】数式用!$B$4:$J$4,0)+1,0),"")</f>
        <v/>
      </c>
      <c r="S97" s="573" t="s">
        <v>19</v>
      </c>
      <c r="T97" s="574">
        <v>6</v>
      </c>
      <c r="U97" s="575" t="s">
        <v>10</v>
      </c>
      <c r="V97" s="110">
        <v>4</v>
      </c>
      <c r="W97" s="575" t="s">
        <v>45</v>
      </c>
      <c r="X97" s="574">
        <v>6</v>
      </c>
      <c r="Y97" s="575" t="s">
        <v>10</v>
      </c>
      <c r="Z97" s="110">
        <v>5</v>
      </c>
      <c r="AA97" s="575" t="s">
        <v>13</v>
      </c>
      <c r="AB97" s="576" t="s">
        <v>24</v>
      </c>
      <c r="AC97" s="577">
        <f t="shared" si="120"/>
        <v>2</v>
      </c>
      <c r="AD97" s="575" t="s">
        <v>38</v>
      </c>
      <c r="AE97" s="590" t="str">
        <f>IFERROR(ROUNDDOWN(ROUND(L95*R97,0)*M95,0)*AC97,"")</f>
        <v/>
      </c>
      <c r="AF97" s="579" t="str">
        <f>IFERROR(ROUNDDOWN(ROUND(L95*(R97-P97),0)*M95,0)*AC97,"")</f>
        <v/>
      </c>
      <c r="AG97" s="580">
        <f t="shared" si="66"/>
        <v>0</v>
      </c>
      <c r="AH97" s="459"/>
      <c r="AI97" s="460"/>
      <c r="AJ97" s="461"/>
      <c r="AK97" s="462"/>
      <c r="AL97" s="463"/>
      <c r="AM97" s="464"/>
      <c r="AN97" s="581" t="str">
        <f t="shared" ref="AN97" si="124">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82" t="str">
        <f>IF(K95&lt;&gt;"","P列・R列に色付け","")</f>
        <v/>
      </c>
      <c r="AQ97" s="583"/>
      <c r="AR97" s="583"/>
      <c r="AX97" s="584"/>
      <c r="AY97" s="543" t="str">
        <f>G95</f>
        <v/>
      </c>
    </row>
    <row r="98" spans="1:51" ht="32.1" customHeight="1">
      <c r="A98" s="1225">
        <v>29</v>
      </c>
      <c r="B98" s="1222" t="str">
        <f>IF(基本情報入力シート!C82="","",基本情報入力シート!C82)</f>
        <v/>
      </c>
      <c r="C98" s="1222"/>
      <c r="D98" s="1222"/>
      <c r="E98" s="1222"/>
      <c r="F98" s="1222"/>
      <c r="G98" s="1234" t="str">
        <f>IF(基本情報入力シート!M82="","",基本情報入力シート!M82)</f>
        <v/>
      </c>
      <c r="H98" s="1234" t="str">
        <f>IF(基本情報入力シート!R82="","",基本情報入力シート!R82)</f>
        <v/>
      </c>
      <c r="I98" s="1234" t="str">
        <f>IF(基本情報入力シート!W82="","",基本情報入力シート!W82)</f>
        <v/>
      </c>
      <c r="J98" s="1234" t="str">
        <f>IF(基本情報入力シート!X82="","",基本情報入力シート!X82)</f>
        <v/>
      </c>
      <c r="K98" s="1234" t="str">
        <f>IF(基本情報入力シート!Y82="","",基本情報入力シート!Y82)</f>
        <v/>
      </c>
      <c r="L98" s="1237" t="str">
        <f>IF(基本情報入力シート!AB82="","",基本情報入力シート!AB82)</f>
        <v/>
      </c>
      <c r="M98" s="1292" t="str">
        <f>IF(基本情報入力シート!AC82="","",基本情報入力シート!AC82)</f>
        <v/>
      </c>
      <c r="N98" s="547" t="s">
        <v>183</v>
      </c>
      <c r="O98" s="151"/>
      <c r="P98" s="548" t="str">
        <f>IFERROR(VLOOKUP(K98,【参考】数式用!$A$5:$J$27,MATCH(O98,【参考】数式用!$B$4:$J$4,0)+1,0),"")</f>
        <v/>
      </c>
      <c r="Q98" s="151"/>
      <c r="R98" s="548" t="str">
        <f>IFERROR(VLOOKUP(K98,【参考】数式用!$A$5:$J$27,MATCH(Q98,【参考】数式用!$B$4:$J$4,0)+1,0),"")</f>
        <v/>
      </c>
      <c r="S98" s="549" t="s">
        <v>19</v>
      </c>
      <c r="T98" s="550">
        <v>6</v>
      </c>
      <c r="U98" s="202" t="s">
        <v>10</v>
      </c>
      <c r="V98" s="71">
        <v>4</v>
      </c>
      <c r="W98" s="202" t="s">
        <v>45</v>
      </c>
      <c r="X98" s="550">
        <v>6</v>
      </c>
      <c r="Y98" s="202" t="s">
        <v>10</v>
      </c>
      <c r="Z98" s="71">
        <v>5</v>
      </c>
      <c r="AA98" s="202" t="s">
        <v>13</v>
      </c>
      <c r="AB98" s="551" t="s">
        <v>24</v>
      </c>
      <c r="AC98" s="552">
        <f t="shared" si="120"/>
        <v>2</v>
      </c>
      <c r="AD98" s="202" t="s">
        <v>38</v>
      </c>
      <c r="AE98" s="553" t="str">
        <f>IFERROR(ROUNDDOWN(ROUND(L98*R98,0)*M98,0)*AC98,"")</f>
        <v/>
      </c>
      <c r="AF98" s="554" t="str">
        <f>IFERROR(ROUNDDOWN(ROUND(L98*(R98-P98),0)*M98,0)*AC98,"")</f>
        <v/>
      </c>
      <c r="AG98" s="555"/>
      <c r="AH98" s="465"/>
      <c r="AI98" s="473"/>
      <c r="AJ98" s="470"/>
      <c r="AK98" s="471"/>
      <c r="AL98" s="451"/>
      <c r="AM98" s="452"/>
      <c r="AN98" s="556" t="str">
        <f t="shared" ref="AN98" si="125">IF(AP98="","",IF(R98&lt;P98,"！加算の要件上は問題ありませんが、令和６年３月と比較して４・５月に加算率が下がる計画になっています。",""))</f>
        <v/>
      </c>
      <c r="AP98" s="557" t="str">
        <f>IF(K98&lt;&gt;"","P列・R列に色付け","")</f>
        <v/>
      </c>
      <c r="AQ98" s="558" t="str">
        <f>IFERROR(VLOOKUP(K98,【参考】数式用!$AJ$2:$AK$24,2,FALSE),"")</f>
        <v/>
      </c>
      <c r="AR98" s="560" t="str">
        <f>Q98&amp;Q99&amp;Q100</f>
        <v/>
      </c>
      <c r="AS98" s="558" t="str">
        <f t="shared" ref="AS98" si="126">IF(AG100&lt;&gt;0,IF(AH100="○","入力済","未入力"),"")</f>
        <v/>
      </c>
      <c r="AT98" s="559" t="str">
        <f>IF(OR(Q98="処遇加算Ⅰ",Q98="処遇加算Ⅱ"),IF(OR(AI98="○",AI98="令和６年度中に満たす"),"入力済","未入力"),"")</f>
        <v/>
      </c>
      <c r="AU98" s="560" t="str">
        <f>IF(Q98="処遇加算Ⅲ",IF(AJ98="○","入力済","未入力"),"")</f>
        <v/>
      </c>
      <c r="AV98" s="558" t="str">
        <f>IF(Q98="処遇加算Ⅰ",IF(OR(AK98="○",AK98="令和６年度中に満たす"),"入力済","未入力"),"")</f>
        <v/>
      </c>
      <c r="AW98" s="558"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43" t="str">
        <f>IF(Q99="特定加算Ⅰ",IF(AM99="","未入力","入力済"),"")</f>
        <v/>
      </c>
      <c r="AY98" s="543" t="str">
        <f>G98</f>
        <v/>
      </c>
    </row>
    <row r="99" spans="1:51" ht="32.1" customHeight="1">
      <c r="A99" s="1226"/>
      <c r="B99" s="1223"/>
      <c r="C99" s="1223"/>
      <c r="D99" s="1223"/>
      <c r="E99" s="1223"/>
      <c r="F99" s="1223"/>
      <c r="G99" s="1235"/>
      <c r="H99" s="1235"/>
      <c r="I99" s="1235"/>
      <c r="J99" s="1235"/>
      <c r="K99" s="1235"/>
      <c r="L99" s="1238"/>
      <c r="M99" s="1293"/>
      <c r="N99" s="561" t="s">
        <v>170</v>
      </c>
      <c r="O99" s="152"/>
      <c r="P99" s="562" t="str">
        <f>IFERROR(VLOOKUP(K98,【参考】数式用!$A$5:$J$27,MATCH(O99,【参考】数式用!$B$4:$J$4,0)+1,0),"")</f>
        <v/>
      </c>
      <c r="Q99" s="152"/>
      <c r="R99" s="562" t="str">
        <f>IFERROR(VLOOKUP(K98,【参考】数式用!$A$5:$J$27,MATCH(Q99,【参考】数式用!$B$4:$J$4,0)+1,0),"")</f>
        <v/>
      </c>
      <c r="S99" s="173" t="s">
        <v>19</v>
      </c>
      <c r="T99" s="563">
        <v>6</v>
      </c>
      <c r="U99" s="174" t="s">
        <v>10</v>
      </c>
      <c r="V99" s="109">
        <v>4</v>
      </c>
      <c r="W99" s="174" t="s">
        <v>45</v>
      </c>
      <c r="X99" s="563">
        <v>6</v>
      </c>
      <c r="Y99" s="174" t="s">
        <v>10</v>
      </c>
      <c r="Z99" s="109">
        <v>5</v>
      </c>
      <c r="AA99" s="174" t="s">
        <v>13</v>
      </c>
      <c r="AB99" s="564" t="s">
        <v>24</v>
      </c>
      <c r="AC99" s="565">
        <f t="shared" si="120"/>
        <v>2</v>
      </c>
      <c r="AD99" s="174" t="s">
        <v>38</v>
      </c>
      <c r="AE99" s="566" t="str">
        <f>IFERROR(ROUNDDOWN(ROUND(L98*R99,0)*M98,0)*AC99,"")</f>
        <v/>
      </c>
      <c r="AF99" s="567" t="str">
        <f>IFERROR(ROUNDDOWN(ROUND(L98*(R99-P99),0)*M98,0)*AC99,"")</f>
        <v/>
      </c>
      <c r="AG99" s="568"/>
      <c r="AH99" s="453"/>
      <c r="AI99" s="454"/>
      <c r="AJ99" s="455"/>
      <c r="AK99" s="456"/>
      <c r="AL99" s="457"/>
      <c r="AM99" s="458"/>
      <c r="AN99" s="569" t="str">
        <f t="shared" ref="AN99" si="127">IF(AP98="","",IF(OR(Z98=4,Z99=4,Z100=4),"！加算の要件上は問題ありませんが、算定期間の終わりが令和６年５月になっていません。区分変更の場合は、「基本情報入力シート」で同じ事業所を２行に分けて記入してください。",""))</f>
        <v/>
      </c>
      <c r="AO99" s="570"/>
      <c r="AP99" s="557" t="str">
        <f>IF(K98&lt;&gt;"","P列・R列に色付け","")</f>
        <v/>
      </c>
      <c r="AY99" s="543" t="str">
        <f>G98</f>
        <v/>
      </c>
    </row>
    <row r="100" spans="1:51" ht="32.1" customHeight="1" thickBot="1">
      <c r="A100" s="1227"/>
      <c r="B100" s="1224"/>
      <c r="C100" s="1224"/>
      <c r="D100" s="1224"/>
      <c r="E100" s="1224"/>
      <c r="F100" s="1224"/>
      <c r="G100" s="1236"/>
      <c r="H100" s="1236"/>
      <c r="I100" s="1236"/>
      <c r="J100" s="1236"/>
      <c r="K100" s="1236"/>
      <c r="L100" s="1239"/>
      <c r="M100" s="1294"/>
      <c r="N100" s="571" t="s">
        <v>140</v>
      </c>
      <c r="O100" s="155"/>
      <c r="P100" s="591" t="str">
        <f>IFERROR(VLOOKUP(K98,【参考】数式用!$A$5:$J$27,MATCH(O100,【参考】数式用!$B$4:$J$4,0)+1,0),"")</f>
        <v/>
      </c>
      <c r="Q100" s="153"/>
      <c r="R100" s="572" t="str">
        <f>IFERROR(VLOOKUP(K98,【参考】数式用!$A$5:$J$27,MATCH(Q100,【参考】数式用!$B$4:$J$4,0)+1,0),"")</f>
        <v/>
      </c>
      <c r="S100" s="573" t="s">
        <v>19</v>
      </c>
      <c r="T100" s="574">
        <v>6</v>
      </c>
      <c r="U100" s="575" t="s">
        <v>10</v>
      </c>
      <c r="V100" s="110">
        <v>4</v>
      </c>
      <c r="W100" s="575" t="s">
        <v>45</v>
      </c>
      <c r="X100" s="574">
        <v>6</v>
      </c>
      <c r="Y100" s="575" t="s">
        <v>10</v>
      </c>
      <c r="Z100" s="110">
        <v>5</v>
      </c>
      <c r="AA100" s="575" t="s">
        <v>13</v>
      </c>
      <c r="AB100" s="576" t="s">
        <v>24</v>
      </c>
      <c r="AC100" s="577">
        <f t="shared" si="120"/>
        <v>2</v>
      </c>
      <c r="AD100" s="575" t="s">
        <v>38</v>
      </c>
      <c r="AE100" s="590" t="str">
        <f>IFERROR(ROUNDDOWN(ROUND(L98*R100,0)*M98,0)*AC100,"")</f>
        <v/>
      </c>
      <c r="AF100" s="579" t="str">
        <f>IFERROR(ROUNDDOWN(ROUND(L98*(R100-P100),0)*M98,0)*AC100,"")</f>
        <v/>
      </c>
      <c r="AG100" s="580">
        <f t="shared" si="66"/>
        <v>0</v>
      </c>
      <c r="AH100" s="459"/>
      <c r="AI100" s="460"/>
      <c r="AJ100" s="461"/>
      <c r="AK100" s="462"/>
      <c r="AL100" s="463"/>
      <c r="AM100" s="464"/>
      <c r="AN100" s="581" t="str">
        <f t="shared" ref="AN100" si="128">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82" t="str">
        <f>IF(K98&lt;&gt;"","P列・R列に色付け","")</f>
        <v/>
      </c>
      <c r="AQ100" s="583"/>
      <c r="AR100" s="583"/>
      <c r="AX100" s="584"/>
      <c r="AY100" s="543" t="str">
        <f>G98</f>
        <v/>
      </c>
    </row>
    <row r="101" spans="1:51" ht="32.1" customHeight="1">
      <c r="A101" s="1225">
        <v>30</v>
      </c>
      <c r="B101" s="1222" t="str">
        <f>IF(基本情報入力シート!C83="","",基本情報入力シート!C83)</f>
        <v/>
      </c>
      <c r="C101" s="1222"/>
      <c r="D101" s="1222"/>
      <c r="E101" s="1222"/>
      <c r="F101" s="1222"/>
      <c r="G101" s="1234" t="str">
        <f>IF(基本情報入力シート!M83="","",基本情報入力シート!M83)</f>
        <v/>
      </c>
      <c r="H101" s="1234" t="str">
        <f>IF(基本情報入力シート!R83="","",基本情報入力シート!R83)</f>
        <v/>
      </c>
      <c r="I101" s="1234" t="str">
        <f>IF(基本情報入力シート!W83="","",基本情報入力シート!W83)</f>
        <v/>
      </c>
      <c r="J101" s="1234" t="str">
        <f>IF(基本情報入力シート!X83="","",基本情報入力シート!X83)</f>
        <v/>
      </c>
      <c r="K101" s="1234" t="str">
        <f>IF(基本情報入力シート!Y83="","",基本情報入力シート!Y83)</f>
        <v/>
      </c>
      <c r="L101" s="1237" t="str">
        <f>IF(基本情報入力シート!AB83="","",基本情報入力シート!AB83)</f>
        <v/>
      </c>
      <c r="M101" s="1292" t="str">
        <f>IF(基本情報入力シート!AC83="","",基本情報入力シート!AC83)</f>
        <v/>
      </c>
      <c r="N101" s="547" t="s">
        <v>183</v>
      </c>
      <c r="O101" s="151"/>
      <c r="P101" s="548" t="str">
        <f>IFERROR(VLOOKUP(K101,【参考】数式用!$A$5:$J$27,MATCH(O101,【参考】数式用!$B$4:$J$4,0)+1,0),"")</f>
        <v/>
      </c>
      <c r="Q101" s="151"/>
      <c r="R101" s="548" t="str">
        <f>IFERROR(VLOOKUP(K101,【参考】数式用!$A$5:$J$27,MATCH(Q101,【参考】数式用!$B$4:$J$4,0)+1,0),"")</f>
        <v/>
      </c>
      <c r="S101" s="549" t="s">
        <v>19</v>
      </c>
      <c r="T101" s="550">
        <v>6</v>
      </c>
      <c r="U101" s="202" t="s">
        <v>10</v>
      </c>
      <c r="V101" s="71">
        <v>4</v>
      </c>
      <c r="W101" s="202" t="s">
        <v>45</v>
      </c>
      <c r="X101" s="550">
        <v>6</v>
      </c>
      <c r="Y101" s="202" t="s">
        <v>10</v>
      </c>
      <c r="Z101" s="71">
        <v>5</v>
      </c>
      <c r="AA101" s="202" t="s">
        <v>13</v>
      </c>
      <c r="AB101" s="551" t="s">
        <v>24</v>
      </c>
      <c r="AC101" s="552">
        <f t="shared" si="120"/>
        <v>2</v>
      </c>
      <c r="AD101" s="202" t="s">
        <v>38</v>
      </c>
      <c r="AE101" s="553" t="str">
        <f>IFERROR(ROUNDDOWN(ROUND(L101*R101,0)*M101,0)*AC101,"")</f>
        <v/>
      </c>
      <c r="AF101" s="554" t="str">
        <f>IFERROR(ROUNDDOWN(ROUND(L101*(R101-P101),0)*M101,0)*AC101,"")</f>
        <v/>
      </c>
      <c r="AG101" s="555"/>
      <c r="AH101" s="465"/>
      <c r="AI101" s="473"/>
      <c r="AJ101" s="470"/>
      <c r="AK101" s="471"/>
      <c r="AL101" s="451"/>
      <c r="AM101" s="452"/>
      <c r="AN101" s="556" t="str">
        <f t="shared" ref="AN101" si="129">IF(AP101="","",IF(R101&lt;P101,"！加算の要件上は問題ありませんが、令和６年３月と比較して４・５月に加算率が下がる計画になっています。",""))</f>
        <v/>
      </c>
      <c r="AP101" s="557" t="str">
        <f>IF(K101&lt;&gt;"","P列・R列に色付け","")</f>
        <v/>
      </c>
      <c r="AQ101" s="558" t="str">
        <f>IFERROR(VLOOKUP(K101,【参考】数式用!$AJ$2:$AK$24,2,FALSE),"")</f>
        <v/>
      </c>
      <c r="AR101" s="560" t="str">
        <f>Q101&amp;Q102&amp;Q103</f>
        <v/>
      </c>
      <c r="AS101" s="558" t="str">
        <f t="shared" ref="AS101" si="130">IF(AG103&lt;&gt;0,IF(AH103="○","入力済","未入力"),"")</f>
        <v/>
      </c>
      <c r="AT101" s="559" t="str">
        <f>IF(OR(Q101="処遇加算Ⅰ",Q101="処遇加算Ⅱ"),IF(OR(AI101="○",AI101="令和６年度中に満たす"),"入力済","未入力"),"")</f>
        <v/>
      </c>
      <c r="AU101" s="560" t="str">
        <f>IF(Q101="処遇加算Ⅲ",IF(AJ101="○","入力済","未入力"),"")</f>
        <v/>
      </c>
      <c r="AV101" s="558" t="str">
        <f>IF(Q101="処遇加算Ⅰ",IF(OR(AK101="○",AK101="令和６年度中に満たす"),"入力済","未入力"),"")</f>
        <v/>
      </c>
      <c r="AW101" s="558"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43" t="str">
        <f>IF(Q102="特定加算Ⅰ",IF(AM102="","未入力","入力済"),"")</f>
        <v/>
      </c>
      <c r="AY101" s="543" t="str">
        <f>G101</f>
        <v/>
      </c>
    </row>
    <row r="102" spans="1:51" ht="32.1" customHeight="1">
      <c r="A102" s="1226"/>
      <c r="B102" s="1223"/>
      <c r="C102" s="1223"/>
      <c r="D102" s="1223"/>
      <c r="E102" s="1223"/>
      <c r="F102" s="1223"/>
      <c r="G102" s="1235"/>
      <c r="H102" s="1235"/>
      <c r="I102" s="1235"/>
      <c r="J102" s="1235"/>
      <c r="K102" s="1235"/>
      <c r="L102" s="1238"/>
      <c r="M102" s="1293"/>
      <c r="N102" s="561" t="s">
        <v>170</v>
      </c>
      <c r="O102" s="152"/>
      <c r="P102" s="562" t="str">
        <f>IFERROR(VLOOKUP(K101,【参考】数式用!$A$5:$J$27,MATCH(O102,【参考】数式用!$B$4:$J$4,0)+1,0),"")</f>
        <v/>
      </c>
      <c r="Q102" s="152"/>
      <c r="R102" s="562" t="str">
        <f>IFERROR(VLOOKUP(K101,【参考】数式用!$A$5:$J$27,MATCH(Q102,【参考】数式用!$B$4:$J$4,0)+1,0),"")</f>
        <v/>
      </c>
      <c r="S102" s="173" t="s">
        <v>19</v>
      </c>
      <c r="T102" s="563">
        <v>6</v>
      </c>
      <c r="U102" s="174" t="s">
        <v>10</v>
      </c>
      <c r="V102" s="109">
        <v>4</v>
      </c>
      <c r="W102" s="174" t="s">
        <v>45</v>
      </c>
      <c r="X102" s="563">
        <v>6</v>
      </c>
      <c r="Y102" s="174" t="s">
        <v>10</v>
      </c>
      <c r="Z102" s="109">
        <v>5</v>
      </c>
      <c r="AA102" s="174" t="s">
        <v>13</v>
      </c>
      <c r="AB102" s="564" t="s">
        <v>24</v>
      </c>
      <c r="AC102" s="565">
        <f t="shared" si="120"/>
        <v>2</v>
      </c>
      <c r="AD102" s="174" t="s">
        <v>38</v>
      </c>
      <c r="AE102" s="566" t="str">
        <f>IFERROR(ROUNDDOWN(ROUND(L101*R102,0)*M101,0)*AC102,"")</f>
        <v/>
      </c>
      <c r="AF102" s="567" t="str">
        <f>IFERROR(ROUNDDOWN(ROUND(L101*(R102-P102),0)*M101,0)*AC102,"")</f>
        <v/>
      </c>
      <c r="AG102" s="568"/>
      <c r="AH102" s="453"/>
      <c r="AI102" s="454"/>
      <c r="AJ102" s="455"/>
      <c r="AK102" s="456"/>
      <c r="AL102" s="457"/>
      <c r="AM102" s="458"/>
      <c r="AN102" s="569" t="str">
        <f t="shared" ref="AN102" si="131">IF(AP101="","",IF(OR(Z101=4,Z102=4,Z103=4),"！加算の要件上は問題ありませんが、算定期間の終わりが令和６年５月になっていません。区分変更の場合は、「基本情報入力シート」で同じ事業所を２行に分けて記入してください。",""))</f>
        <v/>
      </c>
      <c r="AO102" s="570"/>
      <c r="AP102" s="557" t="str">
        <f>IF(K101&lt;&gt;"","P列・R列に色付け","")</f>
        <v/>
      </c>
      <c r="AY102" s="543" t="str">
        <f>G101</f>
        <v/>
      </c>
    </row>
    <row r="103" spans="1:51" ht="32.1" customHeight="1" thickBot="1">
      <c r="A103" s="1227"/>
      <c r="B103" s="1224"/>
      <c r="C103" s="1224"/>
      <c r="D103" s="1224"/>
      <c r="E103" s="1224"/>
      <c r="F103" s="1224"/>
      <c r="G103" s="1236"/>
      <c r="H103" s="1236"/>
      <c r="I103" s="1236"/>
      <c r="J103" s="1236"/>
      <c r="K103" s="1236"/>
      <c r="L103" s="1239"/>
      <c r="M103" s="1294"/>
      <c r="N103" s="571" t="s">
        <v>140</v>
      </c>
      <c r="O103" s="155"/>
      <c r="P103" s="591" t="str">
        <f>IFERROR(VLOOKUP(K101,【参考】数式用!$A$5:$J$27,MATCH(O103,【参考】数式用!$B$4:$J$4,0)+1,0),"")</f>
        <v/>
      </c>
      <c r="Q103" s="153"/>
      <c r="R103" s="572" t="str">
        <f>IFERROR(VLOOKUP(K101,【参考】数式用!$A$5:$J$27,MATCH(Q103,【参考】数式用!$B$4:$J$4,0)+1,0),"")</f>
        <v/>
      </c>
      <c r="S103" s="573" t="s">
        <v>19</v>
      </c>
      <c r="T103" s="574">
        <v>6</v>
      </c>
      <c r="U103" s="575" t="s">
        <v>10</v>
      </c>
      <c r="V103" s="110">
        <v>4</v>
      </c>
      <c r="W103" s="575" t="s">
        <v>45</v>
      </c>
      <c r="X103" s="574">
        <v>6</v>
      </c>
      <c r="Y103" s="575" t="s">
        <v>10</v>
      </c>
      <c r="Z103" s="110">
        <v>5</v>
      </c>
      <c r="AA103" s="575" t="s">
        <v>13</v>
      </c>
      <c r="AB103" s="576" t="s">
        <v>24</v>
      </c>
      <c r="AC103" s="577">
        <f t="shared" si="120"/>
        <v>2</v>
      </c>
      <c r="AD103" s="575" t="s">
        <v>38</v>
      </c>
      <c r="AE103" s="590" t="str">
        <f>IFERROR(ROUNDDOWN(ROUND(L101*R103,0)*M101,0)*AC103,"")</f>
        <v/>
      </c>
      <c r="AF103" s="579" t="str">
        <f>IFERROR(ROUNDDOWN(ROUND(L101*(R103-P103),0)*M101,0)*AC103,"")</f>
        <v/>
      </c>
      <c r="AG103" s="580">
        <f t="shared" si="66"/>
        <v>0</v>
      </c>
      <c r="AH103" s="459"/>
      <c r="AI103" s="460"/>
      <c r="AJ103" s="461"/>
      <c r="AK103" s="462"/>
      <c r="AL103" s="463"/>
      <c r="AM103" s="464"/>
      <c r="AN103" s="581" t="str">
        <f t="shared" ref="AN103" si="132">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82" t="str">
        <f>IF(K101&lt;&gt;"","P列・R列に色付け","")</f>
        <v/>
      </c>
      <c r="AQ103" s="583"/>
      <c r="AR103" s="583"/>
      <c r="AX103" s="584"/>
      <c r="AY103" s="543" t="str">
        <f>G101</f>
        <v/>
      </c>
    </row>
    <row r="104" spans="1:51" ht="32.1" customHeight="1">
      <c r="A104" s="1225">
        <v>31</v>
      </c>
      <c r="B104" s="1222" t="str">
        <f>IF(基本情報入力シート!C84="","",基本情報入力シート!C84)</f>
        <v/>
      </c>
      <c r="C104" s="1222"/>
      <c r="D104" s="1222"/>
      <c r="E104" s="1222"/>
      <c r="F104" s="1222"/>
      <c r="G104" s="1234" t="str">
        <f>IF(基本情報入力シート!M84="","",基本情報入力シート!M84)</f>
        <v/>
      </c>
      <c r="H104" s="1234" t="str">
        <f>IF(基本情報入力シート!R84="","",基本情報入力シート!R84)</f>
        <v/>
      </c>
      <c r="I104" s="1234" t="str">
        <f>IF(基本情報入力シート!W84="","",基本情報入力シート!W84)</f>
        <v/>
      </c>
      <c r="J104" s="1234" t="str">
        <f>IF(基本情報入力シート!X84="","",基本情報入力シート!X84)</f>
        <v/>
      </c>
      <c r="K104" s="1234" t="str">
        <f>IF(基本情報入力シート!Y84="","",基本情報入力シート!Y84)</f>
        <v/>
      </c>
      <c r="L104" s="1237" t="str">
        <f>IF(基本情報入力シート!AB84="","",基本情報入力シート!AB84)</f>
        <v/>
      </c>
      <c r="M104" s="1292" t="str">
        <f>IF(基本情報入力シート!AC84="","",基本情報入力シート!AC84)</f>
        <v/>
      </c>
      <c r="N104" s="547" t="s">
        <v>183</v>
      </c>
      <c r="O104" s="151"/>
      <c r="P104" s="548" t="str">
        <f>IFERROR(VLOOKUP(K104,【参考】数式用!$A$5:$J$27,MATCH(O104,【参考】数式用!$B$4:$J$4,0)+1,0),"")</f>
        <v/>
      </c>
      <c r="Q104" s="151"/>
      <c r="R104" s="548" t="str">
        <f>IFERROR(VLOOKUP(K104,【参考】数式用!$A$5:$J$27,MATCH(Q104,【参考】数式用!$B$4:$J$4,0)+1,0),"")</f>
        <v/>
      </c>
      <c r="S104" s="549" t="s">
        <v>19</v>
      </c>
      <c r="T104" s="550">
        <v>6</v>
      </c>
      <c r="U104" s="202" t="s">
        <v>10</v>
      </c>
      <c r="V104" s="71">
        <v>4</v>
      </c>
      <c r="W104" s="202" t="s">
        <v>45</v>
      </c>
      <c r="X104" s="550">
        <v>6</v>
      </c>
      <c r="Y104" s="202" t="s">
        <v>10</v>
      </c>
      <c r="Z104" s="71">
        <v>5</v>
      </c>
      <c r="AA104" s="202" t="s">
        <v>13</v>
      </c>
      <c r="AB104" s="551" t="s">
        <v>24</v>
      </c>
      <c r="AC104" s="552">
        <f t="shared" si="120"/>
        <v>2</v>
      </c>
      <c r="AD104" s="202" t="s">
        <v>38</v>
      </c>
      <c r="AE104" s="553" t="str">
        <f>IFERROR(ROUNDDOWN(ROUND(L104*R104,0)*M104,0)*AC104,"")</f>
        <v/>
      </c>
      <c r="AF104" s="554" t="str">
        <f>IFERROR(ROUNDDOWN(ROUND(L104*(R104-P104),0)*M104,0)*AC104,"")</f>
        <v/>
      </c>
      <c r="AG104" s="555"/>
      <c r="AH104" s="465"/>
      <c r="AI104" s="473"/>
      <c r="AJ104" s="470"/>
      <c r="AK104" s="471"/>
      <c r="AL104" s="451"/>
      <c r="AM104" s="452"/>
      <c r="AN104" s="556" t="str">
        <f t="shared" ref="AN104" si="133">IF(AP104="","",IF(R104&lt;P104,"！加算の要件上は問題ありませんが、令和６年３月と比較して４・５月に加算率が下がる計画になっています。",""))</f>
        <v/>
      </c>
      <c r="AP104" s="557" t="str">
        <f>IF(K104&lt;&gt;"","P列・R列に色付け","")</f>
        <v/>
      </c>
      <c r="AQ104" s="558" t="str">
        <f>IFERROR(VLOOKUP(K104,【参考】数式用!$AJ$2:$AK$24,2,FALSE),"")</f>
        <v/>
      </c>
      <c r="AR104" s="560" t="str">
        <f>Q104&amp;Q105&amp;Q106</f>
        <v/>
      </c>
      <c r="AS104" s="558" t="str">
        <f t="shared" ref="AS104" si="134">IF(AG106&lt;&gt;0,IF(AH106="○","入力済","未入力"),"")</f>
        <v/>
      </c>
      <c r="AT104" s="559" t="str">
        <f>IF(OR(Q104="処遇加算Ⅰ",Q104="処遇加算Ⅱ"),IF(OR(AI104="○",AI104="令和６年度中に満たす"),"入力済","未入力"),"")</f>
        <v/>
      </c>
      <c r="AU104" s="560" t="str">
        <f>IF(Q104="処遇加算Ⅲ",IF(AJ104="○","入力済","未入力"),"")</f>
        <v/>
      </c>
      <c r="AV104" s="558" t="str">
        <f>IF(Q104="処遇加算Ⅰ",IF(OR(AK104="○",AK104="令和６年度中に満たす"),"入力済","未入力"),"")</f>
        <v/>
      </c>
      <c r="AW104" s="558"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43" t="str">
        <f>IF(Q105="特定加算Ⅰ",IF(AM105="","未入力","入力済"),"")</f>
        <v/>
      </c>
      <c r="AY104" s="543" t="str">
        <f>G104</f>
        <v/>
      </c>
    </row>
    <row r="105" spans="1:51" ht="32.1" customHeight="1">
      <c r="A105" s="1226"/>
      <c r="B105" s="1223"/>
      <c r="C105" s="1223"/>
      <c r="D105" s="1223"/>
      <c r="E105" s="1223"/>
      <c r="F105" s="1223"/>
      <c r="G105" s="1235"/>
      <c r="H105" s="1235"/>
      <c r="I105" s="1235"/>
      <c r="J105" s="1235"/>
      <c r="K105" s="1235"/>
      <c r="L105" s="1238"/>
      <c r="M105" s="1293"/>
      <c r="N105" s="561" t="s">
        <v>170</v>
      </c>
      <c r="O105" s="152"/>
      <c r="P105" s="562" t="str">
        <f>IFERROR(VLOOKUP(K104,【参考】数式用!$A$5:$J$27,MATCH(O105,【参考】数式用!$B$4:$J$4,0)+1,0),"")</f>
        <v/>
      </c>
      <c r="Q105" s="152"/>
      <c r="R105" s="562" t="str">
        <f>IFERROR(VLOOKUP(K104,【参考】数式用!$A$5:$J$27,MATCH(Q105,【参考】数式用!$B$4:$J$4,0)+1,0),"")</f>
        <v/>
      </c>
      <c r="S105" s="173" t="s">
        <v>19</v>
      </c>
      <c r="T105" s="563">
        <v>6</v>
      </c>
      <c r="U105" s="174" t="s">
        <v>10</v>
      </c>
      <c r="V105" s="109">
        <v>4</v>
      </c>
      <c r="W105" s="174" t="s">
        <v>45</v>
      </c>
      <c r="X105" s="563">
        <v>6</v>
      </c>
      <c r="Y105" s="174" t="s">
        <v>10</v>
      </c>
      <c r="Z105" s="109">
        <v>5</v>
      </c>
      <c r="AA105" s="174" t="s">
        <v>13</v>
      </c>
      <c r="AB105" s="564" t="s">
        <v>24</v>
      </c>
      <c r="AC105" s="565">
        <f t="shared" si="120"/>
        <v>2</v>
      </c>
      <c r="AD105" s="174" t="s">
        <v>38</v>
      </c>
      <c r="AE105" s="566" t="str">
        <f>IFERROR(ROUNDDOWN(ROUND(L104*R105,0)*M104,0)*AC105,"")</f>
        <v/>
      </c>
      <c r="AF105" s="567" t="str">
        <f>IFERROR(ROUNDDOWN(ROUND(L104*(R105-P105),0)*M104,0)*AC105,"")</f>
        <v/>
      </c>
      <c r="AG105" s="568"/>
      <c r="AH105" s="453"/>
      <c r="AI105" s="454"/>
      <c r="AJ105" s="455"/>
      <c r="AK105" s="456"/>
      <c r="AL105" s="457"/>
      <c r="AM105" s="458"/>
      <c r="AN105" s="569" t="str">
        <f t="shared" ref="AN105" si="135">IF(AP104="","",IF(OR(Z104=4,Z105=4,Z106=4),"！加算の要件上は問題ありませんが、算定期間の終わりが令和６年５月になっていません。区分変更の場合は、「基本情報入力シート」で同じ事業所を２行に分けて記入してください。",""))</f>
        <v/>
      </c>
      <c r="AO105" s="570"/>
      <c r="AP105" s="557" t="str">
        <f>IF(K104&lt;&gt;"","P列・R列に色付け","")</f>
        <v/>
      </c>
      <c r="AY105" s="543" t="str">
        <f>G104</f>
        <v/>
      </c>
    </row>
    <row r="106" spans="1:51" ht="32.1" customHeight="1" thickBot="1">
      <c r="A106" s="1227"/>
      <c r="B106" s="1224"/>
      <c r="C106" s="1224"/>
      <c r="D106" s="1224"/>
      <c r="E106" s="1224"/>
      <c r="F106" s="1224"/>
      <c r="G106" s="1236"/>
      <c r="H106" s="1236"/>
      <c r="I106" s="1236"/>
      <c r="J106" s="1236"/>
      <c r="K106" s="1236"/>
      <c r="L106" s="1239"/>
      <c r="M106" s="1294"/>
      <c r="N106" s="571" t="s">
        <v>140</v>
      </c>
      <c r="O106" s="155"/>
      <c r="P106" s="591" t="str">
        <f>IFERROR(VLOOKUP(K104,【参考】数式用!$A$5:$J$27,MATCH(O106,【参考】数式用!$B$4:$J$4,0)+1,0),"")</f>
        <v/>
      </c>
      <c r="Q106" s="153"/>
      <c r="R106" s="572" t="str">
        <f>IFERROR(VLOOKUP(K104,【参考】数式用!$A$5:$J$27,MATCH(Q106,【参考】数式用!$B$4:$J$4,0)+1,0),"")</f>
        <v/>
      </c>
      <c r="S106" s="573" t="s">
        <v>19</v>
      </c>
      <c r="T106" s="574">
        <v>6</v>
      </c>
      <c r="U106" s="575" t="s">
        <v>10</v>
      </c>
      <c r="V106" s="110">
        <v>4</v>
      </c>
      <c r="W106" s="575" t="s">
        <v>45</v>
      </c>
      <c r="X106" s="574">
        <v>6</v>
      </c>
      <c r="Y106" s="575" t="s">
        <v>10</v>
      </c>
      <c r="Z106" s="110">
        <v>5</v>
      </c>
      <c r="AA106" s="575" t="s">
        <v>13</v>
      </c>
      <c r="AB106" s="576" t="s">
        <v>24</v>
      </c>
      <c r="AC106" s="577">
        <f t="shared" si="120"/>
        <v>2</v>
      </c>
      <c r="AD106" s="575" t="s">
        <v>38</v>
      </c>
      <c r="AE106" s="590" t="str">
        <f>IFERROR(ROUNDDOWN(ROUND(L104*R106,0)*M104,0)*AC106,"")</f>
        <v/>
      </c>
      <c r="AF106" s="579" t="str">
        <f>IFERROR(ROUNDDOWN(ROUND(L104*(R106-P106),0)*M104,0)*AC106,"")</f>
        <v/>
      </c>
      <c r="AG106" s="580">
        <f t="shared" si="66"/>
        <v>0</v>
      </c>
      <c r="AH106" s="459"/>
      <c r="AI106" s="460"/>
      <c r="AJ106" s="461"/>
      <c r="AK106" s="462"/>
      <c r="AL106" s="463"/>
      <c r="AM106" s="464"/>
      <c r="AN106" s="581" t="str">
        <f t="shared" ref="AN106" si="13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82" t="str">
        <f>IF(K104&lt;&gt;"","P列・R列に色付け","")</f>
        <v/>
      </c>
      <c r="AQ106" s="583"/>
      <c r="AR106" s="583"/>
      <c r="AX106" s="584"/>
      <c r="AY106" s="543" t="str">
        <f>G104</f>
        <v/>
      </c>
    </row>
    <row r="107" spans="1:51" ht="32.1" customHeight="1">
      <c r="A107" s="1225">
        <v>32</v>
      </c>
      <c r="B107" s="1222" t="str">
        <f>IF(基本情報入力シート!C85="","",基本情報入力シート!C85)</f>
        <v/>
      </c>
      <c r="C107" s="1222"/>
      <c r="D107" s="1222"/>
      <c r="E107" s="1222"/>
      <c r="F107" s="1222"/>
      <c r="G107" s="1234" t="str">
        <f>IF(基本情報入力シート!M85="","",基本情報入力シート!M85)</f>
        <v/>
      </c>
      <c r="H107" s="1234" t="str">
        <f>IF(基本情報入力シート!R85="","",基本情報入力シート!R85)</f>
        <v/>
      </c>
      <c r="I107" s="1234" t="str">
        <f>IF(基本情報入力シート!W85="","",基本情報入力シート!W85)</f>
        <v/>
      </c>
      <c r="J107" s="1234" t="str">
        <f>IF(基本情報入力シート!X85="","",基本情報入力シート!X85)</f>
        <v/>
      </c>
      <c r="K107" s="1234" t="str">
        <f>IF(基本情報入力シート!Y85="","",基本情報入力シート!Y85)</f>
        <v/>
      </c>
      <c r="L107" s="1237" t="str">
        <f>IF(基本情報入力シート!AB85="","",基本情報入力シート!AB85)</f>
        <v/>
      </c>
      <c r="M107" s="1292" t="str">
        <f>IF(基本情報入力シート!AC85="","",基本情報入力シート!AC85)</f>
        <v/>
      </c>
      <c r="N107" s="547" t="s">
        <v>183</v>
      </c>
      <c r="O107" s="151"/>
      <c r="P107" s="548" t="str">
        <f>IFERROR(VLOOKUP(K107,【参考】数式用!$A$5:$J$27,MATCH(O107,【参考】数式用!$B$4:$J$4,0)+1,0),"")</f>
        <v/>
      </c>
      <c r="Q107" s="151"/>
      <c r="R107" s="548" t="str">
        <f>IFERROR(VLOOKUP(K107,【参考】数式用!$A$5:$J$27,MATCH(Q107,【参考】数式用!$B$4:$J$4,0)+1,0),"")</f>
        <v/>
      </c>
      <c r="S107" s="549" t="s">
        <v>19</v>
      </c>
      <c r="T107" s="550">
        <v>6</v>
      </c>
      <c r="U107" s="202" t="s">
        <v>10</v>
      </c>
      <c r="V107" s="71">
        <v>4</v>
      </c>
      <c r="W107" s="202" t="s">
        <v>45</v>
      </c>
      <c r="X107" s="550">
        <v>6</v>
      </c>
      <c r="Y107" s="202" t="s">
        <v>10</v>
      </c>
      <c r="Z107" s="71">
        <v>5</v>
      </c>
      <c r="AA107" s="202" t="s">
        <v>13</v>
      </c>
      <c r="AB107" s="551" t="s">
        <v>24</v>
      </c>
      <c r="AC107" s="552">
        <f t="shared" si="120"/>
        <v>2</v>
      </c>
      <c r="AD107" s="202" t="s">
        <v>38</v>
      </c>
      <c r="AE107" s="553" t="str">
        <f>IFERROR(ROUNDDOWN(ROUND(L107*R107,0)*M107,0)*AC107,"")</f>
        <v/>
      </c>
      <c r="AF107" s="554" t="str">
        <f>IFERROR(ROUNDDOWN(ROUND(L107*(R107-P107),0)*M107,0)*AC107,"")</f>
        <v/>
      </c>
      <c r="AG107" s="555"/>
      <c r="AH107" s="465"/>
      <c r="AI107" s="473"/>
      <c r="AJ107" s="470"/>
      <c r="AK107" s="471"/>
      <c r="AL107" s="451"/>
      <c r="AM107" s="452"/>
      <c r="AN107" s="556" t="str">
        <f t="shared" ref="AN107" si="137">IF(AP107="","",IF(R107&lt;P107,"！加算の要件上は問題ありませんが、令和６年３月と比較して４・５月に加算率が下がる計画になっています。",""))</f>
        <v/>
      </c>
      <c r="AP107" s="557" t="str">
        <f>IF(K107&lt;&gt;"","P列・R列に色付け","")</f>
        <v/>
      </c>
      <c r="AQ107" s="558" t="str">
        <f>IFERROR(VLOOKUP(K107,【参考】数式用!$AJ$2:$AK$24,2,FALSE),"")</f>
        <v/>
      </c>
      <c r="AR107" s="560" t="str">
        <f>Q107&amp;Q108&amp;Q109</f>
        <v/>
      </c>
      <c r="AS107" s="558" t="str">
        <f t="shared" ref="AS107" si="138">IF(AG109&lt;&gt;0,IF(AH109="○","入力済","未入力"),"")</f>
        <v/>
      </c>
      <c r="AT107" s="559" t="str">
        <f>IF(OR(Q107="処遇加算Ⅰ",Q107="処遇加算Ⅱ"),IF(OR(AI107="○",AI107="令和６年度中に満たす"),"入力済","未入力"),"")</f>
        <v/>
      </c>
      <c r="AU107" s="560" t="str">
        <f>IF(Q107="処遇加算Ⅲ",IF(AJ107="○","入力済","未入力"),"")</f>
        <v/>
      </c>
      <c r="AV107" s="558" t="str">
        <f>IF(Q107="処遇加算Ⅰ",IF(OR(AK107="○",AK107="令和６年度中に満たす"),"入力済","未入力"),"")</f>
        <v/>
      </c>
      <c r="AW107" s="558"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43" t="str">
        <f>IF(Q108="特定加算Ⅰ",IF(AM108="","未入力","入力済"),"")</f>
        <v/>
      </c>
      <c r="AY107" s="543" t="str">
        <f>G107</f>
        <v/>
      </c>
    </row>
    <row r="108" spans="1:51" ht="32.1" customHeight="1">
      <c r="A108" s="1226"/>
      <c r="B108" s="1223"/>
      <c r="C108" s="1223"/>
      <c r="D108" s="1223"/>
      <c r="E108" s="1223"/>
      <c r="F108" s="1223"/>
      <c r="G108" s="1235"/>
      <c r="H108" s="1235"/>
      <c r="I108" s="1235"/>
      <c r="J108" s="1235"/>
      <c r="K108" s="1235"/>
      <c r="L108" s="1238"/>
      <c r="M108" s="1293"/>
      <c r="N108" s="561" t="s">
        <v>170</v>
      </c>
      <c r="O108" s="152"/>
      <c r="P108" s="562" t="str">
        <f>IFERROR(VLOOKUP(K107,【参考】数式用!$A$5:$J$27,MATCH(O108,【参考】数式用!$B$4:$J$4,0)+1,0),"")</f>
        <v/>
      </c>
      <c r="Q108" s="152"/>
      <c r="R108" s="562" t="str">
        <f>IFERROR(VLOOKUP(K107,【参考】数式用!$A$5:$J$27,MATCH(Q108,【参考】数式用!$B$4:$J$4,0)+1,0),"")</f>
        <v/>
      </c>
      <c r="S108" s="173" t="s">
        <v>19</v>
      </c>
      <c r="T108" s="563">
        <v>6</v>
      </c>
      <c r="U108" s="174" t="s">
        <v>10</v>
      </c>
      <c r="V108" s="109">
        <v>4</v>
      </c>
      <c r="W108" s="174" t="s">
        <v>45</v>
      </c>
      <c r="X108" s="563">
        <v>6</v>
      </c>
      <c r="Y108" s="174" t="s">
        <v>10</v>
      </c>
      <c r="Z108" s="109">
        <v>5</v>
      </c>
      <c r="AA108" s="174" t="s">
        <v>13</v>
      </c>
      <c r="AB108" s="564" t="s">
        <v>24</v>
      </c>
      <c r="AC108" s="565">
        <f t="shared" si="120"/>
        <v>2</v>
      </c>
      <c r="AD108" s="174" t="s">
        <v>38</v>
      </c>
      <c r="AE108" s="566" t="str">
        <f>IFERROR(ROUNDDOWN(ROUND(L107*R108,0)*M107,0)*AC108,"")</f>
        <v/>
      </c>
      <c r="AF108" s="567" t="str">
        <f>IFERROR(ROUNDDOWN(ROUND(L107*(R108-P108),0)*M107,0)*AC108,"")</f>
        <v/>
      </c>
      <c r="AG108" s="568"/>
      <c r="AH108" s="453"/>
      <c r="AI108" s="454"/>
      <c r="AJ108" s="455"/>
      <c r="AK108" s="456"/>
      <c r="AL108" s="457"/>
      <c r="AM108" s="458"/>
      <c r="AN108" s="569" t="str">
        <f t="shared" ref="AN108" si="139">IF(AP107="","",IF(OR(Z107=4,Z108=4,Z109=4),"！加算の要件上は問題ありませんが、算定期間の終わりが令和６年５月になっていません。区分変更の場合は、「基本情報入力シート」で同じ事業所を２行に分けて記入してください。",""))</f>
        <v/>
      </c>
      <c r="AO108" s="570"/>
      <c r="AP108" s="557" t="str">
        <f>IF(K107&lt;&gt;"","P列・R列に色付け","")</f>
        <v/>
      </c>
      <c r="AY108" s="543" t="str">
        <f>G107</f>
        <v/>
      </c>
    </row>
    <row r="109" spans="1:51" ht="32.1" customHeight="1" thickBot="1">
      <c r="A109" s="1227"/>
      <c r="B109" s="1224"/>
      <c r="C109" s="1224"/>
      <c r="D109" s="1224"/>
      <c r="E109" s="1224"/>
      <c r="F109" s="1224"/>
      <c r="G109" s="1236"/>
      <c r="H109" s="1236"/>
      <c r="I109" s="1236"/>
      <c r="J109" s="1236"/>
      <c r="K109" s="1236"/>
      <c r="L109" s="1239"/>
      <c r="M109" s="1294"/>
      <c r="N109" s="571" t="s">
        <v>140</v>
      </c>
      <c r="O109" s="155"/>
      <c r="P109" s="591" t="str">
        <f>IFERROR(VLOOKUP(K107,【参考】数式用!$A$5:$J$27,MATCH(O109,【参考】数式用!$B$4:$J$4,0)+1,0),"")</f>
        <v/>
      </c>
      <c r="Q109" s="153"/>
      <c r="R109" s="572" t="str">
        <f>IFERROR(VLOOKUP(K107,【参考】数式用!$A$5:$J$27,MATCH(Q109,【参考】数式用!$B$4:$J$4,0)+1,0),"")</f>
        <v/>
      </c>
      <c r="S109" s="573" t="s">
        <v>19</v>
      </c>
      <c r="T109" s="574">
        <v>6</v>
      </c>
      <c r="U109" s="575" t="s">
        <v>10</v>
      </c>
      <c r="V109" s="110">
        <v>4</v>
      </c>
      <c r="W109" s="575" t="s">
        <v>45</v>
      </c>
      <c r="X109" s="574">
        <v>6</v>
      </c>
      <c r="Y109" s="575" t="s">
        <v>10</v>
      </c>
      <c r="Z109" s="110">
        <v>5</v>
      </c>
      <c r="AA109" s="575" t="s">
        <v>13</v>
      </c>
      <c r="AB109" s="576" t="s">
        <v>24</v>
      </c>
      <c r="AC109" s="577">
        <f t="shared" si="120"/>
        <v>2</v>
      </c>
      <c r="AD109" s="575" t="s">
        <v>38</v>
      </c>
      <c r="AE109" s="590" t="str">
        <f>IFERROR(ROUNDDOWN(ROUND(L107*R109,0)*M107,0)*AC109,"")</f>
        <v/>
      </c>
      <c r="AF109" s="579" t="str">
        <f>IFERROR(ROUNDDOWN(ROUND(L107*(R109-P109),0)*M107,0)*AC109,"")</f>
        <v/>
      </c>
      <c r="AG109" s="580">
        <f t="shared" si="66"/>
        <v>0</v>
      </c>
      <c r="AH109" s="459"/>
      <c r="AI109" s="460"/>
      <c r="AJ109" s="461"/>
      <c r="AK109" s="462"/>
      <c r="AL109" s="463"/>
      <c r="AM109" s="464"/>
      <c r="AN109" s="581" t="str">
        <f t="shared" ref="AN109" si="140">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82" t="str">
        <f>IF(K107&lt;&gt;"","P列・R列に色付け","")</f>
        <v/>
      </c>
      <c r="AQ109" s="583"/>
      <c r="AR109" s="583"/>
      <c r="AX109" s="584"/>
      <c r="AY109" s="543" t="str">
        <f>G107</f>
        <v/>
      </c>
    </row>
    <row r="110" spans="1:51" ht="32.1" customHeight="1">
      <c r="A110" s="1225">
        <v>33</v>
      </c>
      <c r="B110" s="1222" t="str">
        <f>IF(基本情報入力シート!C86="","",基本情報入力シート!C86)</f>
        <v/>
      </c>
      <c r="C110" s="1222"/>
      <c r="D110" s="1222"/>
      <c r="E110" s="1222"/>
      <c r="F110" s="1222"/>
      <c r="G110" s="1234" t="str">
        <f>IF(基本情報入力シート!M86="","",基本情報入力シート!M86)</f>
        <v/>
      </c>
      <c r="H110" s="1234" t="str">
        <f>IF(基本情報入力シート!R86="","",基本情報入力シート!R86)</f>
        <v/>
      </c>
      <c r="I110" s="1234" t="str">
        <f>IF(基本情報入力シート!W86="","",基本情報入力シート!W86)</f>
        <v/>
      </c>
      <c r="J110" s="1234" t="str">
        <f>IF(基本情報入力シート!X86="","",基本情報入力シート!X86)</f>
        <v/>
      </c>
      <c r="K110" s="1234" t="str">
        <f>IF(基本情報入力シート!Y86="","",基本情報入力シート!Y86)</f>
        <v/>
      </c>
      <c r="L110" s="1237" t="str">
        <f>IF(基本情報入力シート!AB86="","",基本情報入力シート!AB86)</f>
        <v/>
      </c>
      <c r="M110" s="1292" t="str">
        <f>IF(基本情報入力シート!AC86="","",基本情報入力シート!AC86)</f>
        <v/>
      </c>
      <c r="N110" s="547" t="s">
        <v>183</v>
      </c>
      <c r="O110" s="151"/>
      <c r="P110" s="548" t="str">
        <f>IFERROR(VLOOKUP(K110,【参考】数式用!$A$5:$J$27,MATCH(O110,【参考】数式用!$B$4:$J$4,0)+1,0),"")</f>
        <v/>
      </c>
      <c r="Q110" s="151"/>
      <c r="R110" s="548" t="str">
        <f>IFERROR(VLOOKUP(K110,【参考】数式用!$A$5:$J$27,MATCH(Q110,【参考】数式用!$B$4:$J$4,0)+1,0),"")</f>
        <v/>
      </c>
      <c r="S110" s="549" t="s">
        <v>19</v>
      </c>
      <c r="T110" s="550">
        <v>6</v>
      </c>
      <c r="U110" s="202" t="s">
        <v>10</v>
      </c>
      <c r="V110" s="71">
        <v>4</v>
      </c>
      <c r="W110" s="202" t="s">
        <v>45</v>
      </c>
      <c r="X110" s="550">
        <v>6</v>
      </c>
      <c r="Y110" s="202" t="s">
        <v>10</v>
      </c>
      <c r="Z110" s="71">
        <v>5</v>
      </c>
      <c r="AA110" s="202" t="s">
        <v>13</v>
      </c>
      <c r="AB110" s="551" t="s">
        <v>24</v>
      </c>
      <c r="AC110" s="552">
        <f t="shared" si="120"/>
        <v>2</v>
      </c>
      <c r="AD110" s="202" t="s">
        <v>38</v>
      </c>
      <c r="AE110" s="553" t="str">
        <f>IFERROR(ROUNDDOWN(ROUND(L110*R110,0)*M110,0)*AC110,"")</f>
        <v/>
      </c>
      <c r="AF110" s="554" t="str">
        <f>IFERROR(ROUNDDOWN(ROUND(L110*(R110-P110),0)*M110,0)*AC110,"")</f>
        <v/>
      </c>
      <c r="AG110" s="555"/>
      <c r="AH110" s="465"/>
      <c r="AI110" s="473"/>
      <c r="AJ110" s="470"/>
      <c r="AK110" s="471"/>
      <c r="AL110" s="451"/>
      <c r="AM110" s="452"/>
      <c r="AN110" s="556" t="str">
        <f t="shared" ref="AN110" si="141">IF(AP110="","",IF(R110&lt;P110,"！加算の要件上は問題ありませんが、令和６年３月と比較して４・５月に加算率が下がる計画になっています。",""))</f>
        <v/>
      </c>
      <c r="AP110" s="557" t="str">
        <f>IF(K110&lt;&gt;"","P列・R列に色付け","")</f>
        <v/>
      </c>
      <c r="AQ110" s="558" t="str">
        <f>IFERROR(VLOOKUP(K110,【参考】数式用!$AJ$2:$AK$24,2,FALSE),"")</f>
        <v/>
      </c>
      <c r="AR110" s="560" t="str">
        <f>Q110&amp;Q111&amp;Q112</f>
        <v/>
      </c>
      <c r="AS110" s="558" t="str">
        <f t="shared" ref="AS110" si="142">IF(AG112&lt;&gt;0,IF(AH112="○","入力済","未入力"),"")</f>
        <v/>
      </c>
      <c r="AT110" s="559" t="str">
        <f>IF(OR(Q110="処遇加算Ⅰ",Q110="処遇加算Ⅱ"),IF(OR(AI110="○",AI110="令和６年度中に満たす"),"入力済","未入力"),"")</f>
        <v/>
      </c>
      <c r="AU110" s="560" t="str">
        <f>IF(Q110="処遇加算Ⅲ",IF(AJ110="○","入力済","未入力"),"")</f>
        <v/>
      </c>
      <c r="AV110" s="558" t="str">
        <f>IF(Q110="処遇加算Ⅰ",IF(OR(AK110="○",AK110="令和６年度中に満たす"),"入力済","未入力"),"")</f>
        <v/>
      </c>
      <c r="AW110" s="558"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43" t="str">
        <f>IF(Q111="特定加算Ⅰ",IF(AM111="","未入力","入力済"),"")</f>
        <v/>
      </c>
      <c r="AY110" s="543" t="str">
        <f>G110</f>
        <v/>
      </c>
    </row>
    <row r="111" spans="1:51" ht="32.1" customHeight="1">
      <c r="A111" s="1226"/>
      <c r="B111" s="1223"/>
      <c r="C111" s="1223"/>
      <c r="D111" s="1223"/>
      <c r="E111" s="1223"/>
      <c r="F111" s="1223"/>
      <c r="G111" s="1235"/>
      <c r="H111" s="1235"/>
      <c r="I111" s="1235"/>
      <c r="J111" s="1235"/>
      <c r="K111" s="1235"/>
      <c r="L111" s="1238"/>
      <c r="M111" s="1293"/>
      <c r="N111" s="561" t="s">
        <v>170</v>
      </c>
      <c r="O111" s="152"/>
      <c r="P111" s="562" t="str">
        <f>IFERROR(VLOOKUP(K110,【参考】数式用!$A$5:$J$27,MATCH(O111,【参考】数式用!$B$4:$J$4,0)+1,0),"")</f>
        <v/>
      </c>
      <c r="Q111" s="152"/>
      <c r="R111" s="562" t="str">
        <f>IFERROR(VLOOKUP(K110,【参考】数式用!$A$5:$J$27,MATCH(Q111,【参考】数式用!$B$4:$J$4,0)+1,0),"")</f>
        <v/>
      </c>
      <c r="S111" s="173" t="s">
        <v>19</v>
      </c>
      <c r="T111" s="563">
        <v>6</v>
      </c>
      <c r="U111" s="174" t="s">
        <v>10</v>
      </c>
      <c r="V111" s="109">
        <v>4</v>
      </c>
      <c r="W111" s="174" t="s">
        <v>45</v>
      </c>
      <c r="X111" s="563">
        <v>6</v>
      </c>
      <c r="Y111" s="174" t="s">
        <v>10</v>
      </c>
      <c r="Z111" s="109">
        <v>5</v>
      </c>
      <c r="AA111" s="174" t="s">
        <v>13</v>
      </c>
      <c r="AB111" s="564" t="s">
        <v>24</v>
      </c>
      <c r="AC111" s="565">
        <f t="shared" si="120"/>
        <v>2</v>
      </c>
      <c r="AD111" s="174" t="s">
        <v>38</v>
      </c>
      <c r="AE111" s="566" t="str">
        <f>IFERROR(ROUNDDOWN(ROUND(L110*R111,0)*M110,0)*AC111,"")</f>
        <v/>
      </c>
      <c r="AF111" s="567" t="str">
        <f>IFERROR(ROUNDDOWN(ROUND(L110*(R111-P111),0)*M110,0)*AC111,"")</f>
        <v/>
      </c>
      <c r="AG111" s="568"/>
      <c r="AH111" s="453"/>
      <c r="AI111" s="454"/>
      <c r="AJ111" s="455"/>
      <c r="AK111" s="456"/>
      <c r="AL111" s="457"/>
      <c r="AM111" s="458"/>
      <c r="AN111" s="569" t="str">
        <f t="shared" ref="AN111" si="143">IF(AP110="","",IF(OR(Z110=4,Z111=4,Z112=4),"！加算の要件上は問題ありませんが、算定期間の終わりが令和６年５月になっていません。区分変更の場合は、「基本情報入力シート」で同じ事業所を２行に分けて記入してください。",""))</f>
        <v/>
      </c>
      <c r="AO111" s="570"/>
      <c r="AP111" s="557" t="str">
        <f>IF(K110&lt;&gt;"","P列・R列に色付け","")</f>
        <v/>
      </c>
      <c r="AY111" s="543" t="str">
        <f>G110</f>
        <v/>
      </c>
    </row>
    <row r="112" spans="1:51" ht="32.1" customHeight="1" thickBot="1">
      <c r="A112" s="1227"/>
      <c r="B112" s="1224"/>
      <c r="C112" s="1224"/>
      <c r="D112" s="1224"/>
      <c r="E112" s="1224"/>
      <c r="F112" s="1224"/>
      <c r="G112" s="1236"/>
      <c r="H112" s="1236"/>
      <c r="I112" s="1236"/>
      <c r="J112" s="1236"/>
      <c r="K112" s="1236"/>
      <c r="L112" s="1239"/>
      <c r="M112" s="1294"/>
      <c r="N112" s="571" t="s">
        <v>140</v>
      </c>
      <c r="O112" s="155"/>
      <c r="P112" s="591" t="str">
        <f>IFERROR(VLOOKUP(K110,【参考】数式用!$A$5:$J$27,MATCH(O112,【参考】数式用!$B$4:$J$4,0)+1,0),"")</f>
        <v/>
      </c>
      <c r="Q112" s="153"/>
      <c r="R112" s="572" t="str">
        <f>IFERROR(VLOOKUP(K110,【参考】数式用!$A$5:$J$27,MATCH(Q112,【参考】数式用!$B$4:$J$4,0)+1,0),"")</f>
        <v/>
      </c>
      <c r="S112" s="573" t="s">
        <v>19</v>
      </c>
      <c r="T112" s="574">
        <v>6</v>
      </c>
      <c r="U112" s="575" t="s">
        <v>10</v>
      </c>
      <c r="V112" s="110">
        <v>4</v>
      </c>
      <c r="W112" s="575" t="s">
        <v>45</v>
      </c>
      <c r="X112" s="574">
        <v>6</v>
      </c>
      <c r="Y112" s="575" t="s">
        <v>10</v>
      </c>
      <c r="Z112" s="110">
        <v>5</v>
      </c>
      <c r="AA112" s="575" t="s">
        <v>13</v>
      </c>
      <c r="AB112" s="576" t="s">
        <v>24</v>
      </c>
      <c r="AC112" s="577">
        <f t="shared" si="120"/>
        <v>2</v>
      </c>
      <c r="AD112" s="575" t="s">
        <v>38</v>
      </c>
      <c r="AE112" s="590" t="str">
        <f>IFERROR(ROUNDDOWN(ROUND(L110*R112,0)*M110,0)*AC112,"")</f>
        <v/>
      </c>
      <c r="AF112" s="579" t="str">
        <f>IFERROR(ROUNDDOWN(ROUND(L110*(R112-P112),0)*M110,0)*AC112,"")</f>
        <v/>
      </c>
      <c r="AG112" s="580">
        <f t="shared" si="66"/>
        <v>0</v>
      </c>
      <c r="AH112" s="459"/>
      <c r="AI112" s="460"/>
      <c r="AJ112" s="461"/>
      <c r="AK112" s="462"/>
      <c r="AL112" s="463"/>
      <c r="AM112" s="464"/>
      <c r="AN112" s="581" t="str">
        <f t="shared" ref="AN112" si="144">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82" t="str">
        <f>IF(K110&lt;&gt;"","P列・R列に色付け","")</f>
        <v/>
      </c>
      <c r="AQ112" s="583"/>
      <c r="AR112" s="583"/>
      <c r="AX112" s="584"/>
      <c r="AY112" s="543" t="str">
        <f>G110</f>
        <v/>
      </c>
    </row>
    <row r="113" spans="1:51" ht="32.1" customHeight="1">
      <c r="A113" s="1225">
        <v>34</v>
      </c>
      <c r="B113" s="1222" t="str">
        <f>IF(基本情報入力シート!C87="","",基本情報入力シート!C87)</f>
        <v/>
      </c>
      <c r="C113" s="1222"/>
      <c r="D113" s="1222"/>
      <c r="E113" s="1222"/>
      <c r="F113" s="1222"/>
      <c r="G113" s="1234" t="str">
        <f>IF(基本情報入力シート!M87="","",基本情報入力シート!M87)</f>
        <v/>
      </c>
      <c r="H113" s="1234" t="str">
        <f>IF(基本情報入力シート!R87="","",基本情報入力シート!R87)</f>
        <v/>
      </c>
      <c r="I113" s="1234" t="str">
        <f>IF(基本情報入力シート!W87="","",基本情報入力シート!W87)</f>
        <v/>
      </c>
      <c r="J113" s="1234" t="str">
        <f>IF(基本情報入力シート!X87="","",基本情報入力シート!X87)</f>
        <v/>
      </c>
      <c r="K113" s="1234" t="str">
        <f>IF(基本情報入力シート!Y87="","",基本情報入力シート!Y87)</f>
        <v/>
      </c>
      <c r="L113" s="1237" t="str">
        <f>IF(基本情報入力シート!AB87="","",基本情報入力シート!AB87)</f>
        <v/>
      </c>
      <c r="M113" s="1292" t="str">
        <f>IF(基本情報入力シート!AC87="","",基本情報入力シート!AC87)</f>
        <v/>
      </c>
      <c r="N113" s="547" t="s">
        <v>183</v>
      </c>
      <c r="O113" s="151"/>
      <c r="P113" s="548" t="str">
        <f>IFERROR(VLOOKUP(K113,【参考】数式用!$A$5:$J$27,MATCH(O113,【参考】数式用!$B$4:$J$4,0)+1,0),"")</f>
        <v/>
      </c>
      <c r="Q113" s="151"/>
      <c r="R113" s="548" t="str">
        <f>IFERROR(VLOOKUP(K113,【参考】数式用!$A$5:$J$27,MATCH(Q113,【参考】数式用!$B$4:$J$4,0)+1,0),"")</f>
        <v/>
      </c>
      <c r="S113" s="549" t="s">
        <v>19</v>
      </c>
      <c r="T113" s="550">
        <v>6</v>
      </c>
      <c r="U113" s="202" t="s">
        <v>10</v>
      </c>
      <c r="V113" s="71">
        <v>4</v>
      </c>
      <c r="W113" s="202" t="s">
        <v>45</v>
      </c>
      <c r="X113" s="550">
        <v>6</v>
      </c>
      <c r="Y113" s="202" t="s">
        <v>10</v>
      </c>
      <c r="Z113" s="71">
        <v>5</v>
      </c>
      <c r="AA113" s="202" t="s">
        <v>13</v>
      </c>
      <c r="AB113" s="551" t="s">
        <v>24</v>
      </c>
      <c r="AC113" s="552">
        <f t="shared" si="120"/>
        <v>2</v>
      </c>
      <c r="AD113" s="202" t="s">
        <v>38</v>
      </c>
      <c r="AE113" s="553" t="str">
        <f>IFERROR(ROUNDDOWN(ROUND(L113*R113,0)*M113,0)*AC113,"")</f>
        <v/>
      </c>
      <c r="AF113" s="554" t="str">
        <f>IFERROR(ROUNDDOWN(ROUND(L113*(R113-P113),0)*M113,0)*AC113,"")</f>
        <v/>
      </c>
      <c r="AG113" s="555"/>
      <c r="AH113" s="465"/>
      <c r="AI113" s="473"/>
      <c r="AJ113" s="470"/>
      <c r="AK113" s="471"/>
      <c r="AL113" s="451"/>
      <c r="AM113" s="452"/>
      <c r="AN113" s="556" t="str">
        <f t="shared" ref="AN113" si="145">IF(AP113="","",IF(R113&lt;P113,"！加算の要件上は問題ありませんが、令和６年３月と比較して４・５月に加算率が下がる計画になっています。",""))</f>
        <v/>
      </c>
      <c r="AP113" s="557" t="str">
        <f>IF(K113&lt;&gt;"","P列・R列に色付け","")</f>
        <v/>
      </c>
      <c r="AQ113" s="558" t="str">
        <f>IFERROR(VLOOKUP(K113,【参考】数式用!$AJ$2:$AK$24,2,FALSE),"")</f>
        <v/>
      </c>
      <c r="AR113" s="560" t="str">
        <f>Q113&amp;Q114&amp;Q115</f>
        <v/>
      </c>
      <c r="AS113" s="558" t="str">
        <f t="shared" ref="AS113" si="146">IF(AG115&lt;&gt;0,IF(AH115="○","入力済","未入力"),"")</f>
        <v/>
      </c>
      <c r="AT113" s="559" t="str">
        <f>IF(OR(Q113="処遇加算Ⅰ",Q113="処遇加算Ⅱ"),IF(OR(AI113="○",AI113="令和６年度中に満たす"),"入力済","未入力"),"")</f>
        <v/>
      </c>
      <c r="AU113" s="560" t="str">
        <f>IF(Q113="処遇加算Ⅲ",IF(AJ113="○","入力済","未入力"),"")</f>
        <v/>
      </c>
      <c r="AV113" s="558" t="str">
        <f>IF(Q113="処遇加算Ⅰ",IF(OR(AK113="○",AK113="令和６年度中に満たす"),"入力済","未入力"),"")</f>
        <v/>
      </c>
      <c r="AW113" s="558"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43" t="str">
        <f>IF(Q114="特定加算Ⅰ",IF(AM114="","未入力","入力済"),"")</f>
        <v/>
      </c>
      <c r="AY113" s="543" t="str">
        <f>G113</f>
        <v/>
      </c>
    </row>
    <row r="114" spans="1:51" ht="32.1" customHeight="1">
      <c r="A114" s="1226"/>
      <c r="B114" s="1223"/>
      <c r="C114" s="1223"/>
      <c r="D114" s="1223"/>
      <c r="E114" s="1223"/>
      <c r="F114" s="1223"/>
      <c r="G114" s="1235"/>
      <c r="H114" s="1235"/>
      <c r="I114" s="1235"/>
      <c r="J114" s="1235"/>
      <c r="K114" s="1235"/>
      <c r="L114" s="1238"/>
      <c r="M114" s="1293"/>
      <c r="N114" s="561" t="s">
        <v>170</v>
      </c>
      <c r="O114" s="152"/>
      <c r="P114" s="562" t="str">
        <f>IFERROR(VLOOKUP(K113,【参考】数式用!$A$5:$J$27,MATCH(O114,【参考】数式用!$B$4:$J$4,0)+1,0),"")</f>
        <v/>
      </c>
      <c r="Q114" s="152"/>
      <c r="R114" s="562" t="str">
        <f>IFERROR(VLOOKUP(K113,【参考】数式用!$A$5:$J$27,MATCH(Q114,【参考】数式用!$B$4:$J$4,0)+1,0),"")</f>
        <v/>
      </c>
      <c r="S114" s="173" t="s">
        <v>19</v>
      </c>
      <c r="T114" s="563">
        <v>6</v>
      </c>
      <c r="U114" s="174" t="s">
        <v>10</v>
      </c>
      <c r="V114" s="109">
        <v>4</v>
      </c>
      <c r="W114" s="174" t="s">
        <v>45</v>
      </c>
      <c r="X114" s="563">
        <v>6</v>
      </c>
      <c r="Y114" s="174" t="s">
        <v>10</v>
      </c>
      <c r="Z114" s="109">
        <v>5</v>
      </c>
      <c r="AA114" s="174" t="s">
        <v>13</v>
      </c>
      <c r="AB114" s="564" t="s">
        <v>24</v>
      </c>
      <c r="AC114" s="565">
        <f t="shared" si="120"/>
        <v>2</v>
      </c>
      <c r="AD114" s="174" t="s">
        <v>38</v>
      </c>
      <c r="AE114" s="566" t="str">
        <f>IFERROR(ROUNDDOWN(ROUND(L113*R114,0)*M113,0)*AC114,"")</f>
        <v/>
      </c>
      <c r="AF114" s="567" t="str">
        <f>IFERROR(ROUNDDOWN(ROUND(L113*(R114-P114),0)*M113,0)*AC114,"")</f>
        <v/>
      </c>
      <c r="AG114" s="568"/>
      <c r="AH114" s="453"/>
      <c r="AI114" s="454"/>
      <c r="AJ114" s="455"/>
      <c r="AK114" s="456"/>
      <c r="AL114" s="457"/>
      <c r="AM114" s="458"/>
      <c r="AN114" s="569" t="str">
        <f t="shared" ref="AN114" si="147">IF(AP113="","",IF(OR(Z113=4,Z114=4,Z115=4),"！加算の要件上は問題ありませんが、算定期間の終わりが令和６年５月になっていません。区分変更の場合は、「基本情報入力シート」で同じ事業所を２行に分けて記入してください。",""))</f>
        <v/>
      </c>
      <c r="AO114" s="570"/>
      <c r="AP114" s="557" t="str">
        <f>IF(K113&lt;&gt;"","P列・R列に色付け","")</f>
        <v/>
      </c>
      <c r="AY114" s="543" t="str">
        <f>G113</f>
        <v/>
      </c>
    </row>
    <row r="115" spans="1:51" ht="32.1" customHeight="1" thickBot="1">
      <c r="A115" s="1227"/>
      <c r="B115" s="1224"/>
      <c r="C115" s="1224"/>
      <c r="D115" s="1224"/>
      <c r="E115" s="1224"/>
      <c r="F115" s="1224"/>
      <c r="G115" s="1236"/>
      <c r="H115" s="1236"/>
      <c r="I115" s="1236"/>
      <c r="J115" s="1236"/>
      <c r="K115" s="1236"/>
      <c r="L115" s="1239"/>
      <c r="M115" s="1294"/>
      <c r="N115" s="571" t="s">
        <v>140</v>
      </c>
      <c r="O115" s="155"/>
      <c r="P115" s="591" t="str">
        <f>IFERROR(VLOOKUP(K113,【参考】数式用!$A$5:$J$27,MATCH(O115,【参考】数式用!$B$4:$J$4,0)+1,0),"")</f>
        <v/>
      </c>
      <c r="Q115" s="153"/>
      <c r="R115" s="572" t="str">
        <f>IFERROR(VLOOKUP(K113,【参考】数式用!$A$5:$J$27,MATCH(Q115,【参考】数式用!$B$4:$J$4,0)+1,0),"")</f>
        <v/>
      </c>
      <c r="S115" s="573" t="s">
        <v>19</v>
      </c>
      <c r="T115" s="574">
        <v>6</v>
      </c>
      <c r="U115" s="575" t="s">
        <v>10</v>
      </c>
      <c r="V115" s="110">
        <v>4</v>
      </c>
      <c r="W115" s="575" t="s">
        <v>45</v>
      </c>
      <c r="X115" s="574">
        <v>6</v>
      </c>
      <c r="Y115" s="575" t="s">
        <v>10</v>
      </c>
      <c r="Z115" s="110">
        <v>5</v>
      </c>
      <c r="AA115" s="575" t="s">
        <v>13</v>
      </c>
      <c r="AB115" s="576" t="s">
        <v>24</v>
      </c>
      <c r="AC115" s="577">
        <f t="shared" si="120"/>
        <v>2</v>
      </c>
      <c r="AD115" s="575" t="s">
        <v>38</v>
      </c>
      <c r="AE115" s="590" t="str">
        <f>IFERROR(ROUNDDOWN(ROUND(L113*R115,0)*M113,0)*AC115,"")</f>
        <v/>
      </c>
      <c r="AF115" s="579" t="str">
        <f>IFERROR(ROUNDDOWN(ROUND(L113*(R115-P115),0)*M113,0)*AC115,"")</f>
        <v/>
      </c>
      <c r="AG115" s="580">
        <f t="shared" si="66"/>
        <v>0</v>
      </c>
      <c r="AH115" s="459"/>
      <c r="AI115" s="460"/>
      <c r="AJ115" s="461"/>
      <c r="AK115" s="462"/>
      <c r="AL115" s="463"/>
      <c r="AM115" s="464"/>
      <c r="AN115" s="581" t="str">
        <f t="shared" ref="AN115" si="148">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82" t="str">
        <f>IF(K113&lt;&gt;"","P列・R列に色付け","")</f>
        <v/>
      </c>
      <c r="AQ115" s="583"/>
      <c r="AR115" s="583"/>
      <c r="AX115" s="584"/>
      <c r="AY115" s="543" t="str">
        <f>G113</f>
        <v/>
      </c>
    </row>
    <row r="116" spans="1:51" ht="32.1" customHeight="1">
      <c r="A116" s="1225">
        <v>35</v>
      </c>
      <c r="B116" s="1222" t="str">
        <f>IF(基本情報入力シート!C88="","",基本情報入力シート!C88)</f>
        <v/>
      </c>
      <c r="C116" s="1222"/>
      <c r="D116" s="1222"/>
      <c r="E116" s="1222"/>
      <c r="F116" s="1222"/>
      <c r="G116" s="1234" t="str">
        <f>IF(基本情報入力シート!M88="","",基本情報入力シート!M88)</f>
        <v/>
      </c>
      <c r="H116" s="1234" t="str">
        <f>IF(基本情報入力シート!R88="","",基本情報入力シート!R88)</f>
        <v/>
      </c>
      <c r="I116" s="1234" t="str">
        <f>IF(基本情報入力シート!W88="","",基本情報入力シート!W88)</f>
        <v/>
      </c>
      <c r="J116" s="1234" t="str">
        <f>IF(基本情報入力シート!X88="","",基本情報入力シート!X88)</f>
        <v/>
      </c>
      <c r="K116" s="1234" t="str">
        <f>IF(基本情報入力シート!Y88="","",基本情報入力シート!Y88)</f>
        <v/>
      </c>
      <c r="L116" s="1237" t="str">
        <f>IF(基本情報入力シート!AB88="","",基本情報入力シート!AB88)</f>
        <v/>
      </c>
      <c r="M116" s="1292" t="str">
        <f>IF(基本情報入力シート!AC88="","",基本情報入力シート!AC88)</f>
        <v/>
      </c>
      <c r="N116" s="547" t="s">
        <v>183</v>
      </c>
      <c r="O116" s="151"/>
      <c r="P116" s="548" t="str">
        <f>IFERROR(VLOOKUP(K116,【参考】数式用!$A$5:$J$27,MATCH(O116,【参考】数式用!$B$4:$J$4,0)+1,0),"")</f>
        <v/>
      </c>
      <c r="Q116" s="151"/>
      <c r="R116" s="548" t="str">
        <f>IFERROR(VLOOKUP(K116,【参考】数式用!$A$5:$J$27,MATCH(Q116,【参考】数式用!$B$4:$J$4,0)+1,0),"")</f>
        <v/>
      </c>
      <c r="S116" s="549" t="s">
        <v>19</v>
      </c>
      <c r="T116" s="550">
        <v>6</v>
      </c>
      <c r="U116" s="202" t="s">
        <v>10</v>
      </c>
      <c r="V116" s="71">
        <v>4</v>
      </c>
      <c r="W116" s="202" t="s">
        <v>45</v>
      </c>
      <c r="X116" s="550">
        <v>6</v>
      </c>
      <c r="Y116" s="202" t="s">
        <v>10</v>
      </c>
      <c r="Z116" s="71">
        <v>5</v>
      </c>
      <c r="AA116" s="202" t="s">
        <v>13</v>
      </c>
      <c r="AB116" s="551" t="s">
        <v>24</v>
      </c>
      <c r="AC116" s="552">
        <f t="shared" si="120"/>
        <v>2</v>
      </c>
      <c r="AD116" s="202" t="s">
        <v>38</v>
      </c>
      <c r="AE116" s="553" t="str">
        <f>IFERROR(ROUNDDOWN(ROUND(L116*R116,0)*M116,0)*AC116,"")</f>
        <v/>
      </c>
      <c r="AF116" s="554" t="str">
        <f>IFERROR(ROUNDDOWN(ROUND(L116*(R116-P116),0)*M116,0)*AC116,"")</f>
        <v/>
      </c>
      <c r="AG116" s="555"/>
      <c r="AH116" s="465"/>
      <c r="AI116" s="473"/>
      <c r="AJ116" s="470"/>
      <c r="AK116" s="471"/>
      <c r="AL116" s="451"/>
      <c r="AM116" s="452"/>
      <c r="AN116" s="556" t="str">
        <f t="shared" ref="AN116" si="149">IF(AP116="","",IF(R116&lt;P116,"！加算の要件上は問題ありませんが、令和６年３月と比較して４・５月に加算率が下がる計画になっています。",""))</f>
        <v/>
      </c>
      <c r="AP116" s="557" t="str">
        <f>IF(K116&lt;&gt;"","P列・R列に色付け","")</f>
        <v/>
      </c>
      <c r="AQ116" s="558" t="str">
        <f>IFERROR(VLOOKUP(K116,【参考】数式用!$AJ$2:$AK$24,2,FALSE),"")</f>
        <v/>
      </c>
      <c r="AR116" s="560" t="str">
        <f>Q116&amp;Q117&amp;Q118</f>
        <v/>
      </c>
      <c r="AS116" s="558" t="str">
        <f t="shared" ref="AS116" si="150">IF(AG118&lt;&gt;0,IF(AH118="○","入力済","未入力"),"")</f>
        <v/>
      </c>
      <c r="AT116" s="559" t="str">
        <f>IF(OR(Q116="処遇加算Ⅰ",Q116="処遇加算Ⅱ"),IF(OR(AI116="○",AI116="令和６年度中に満たす"),"入力済","未入力"),"")</f>
        <v/>
      </c>
      <c r="AU116" s="560" t="str">
        <f>IF(Q116="処遇加算Ⅲ",IF(AJ116="○","入力済","未入力"),"")</f>
        <v/>
      </c>
      <c r="AV116" s="558" t="str">
        <f>IF(Q116="処遇加算Ⅰ",IF(OR(AK116="○",AK116="令和６年度中に満たす"),"入力済","未入力"),"")</f>
        <v/>
      </c>
      <c r="AW116" s="558"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43" t="str">
        <f>IF(Q117="特定加算Ⅰ",IF(AM117="","未入力","入力済"),"")</f>
        <v/>
      </c>
      <c r="AY116" s="543" t="str">
        <f>G116</f>
        <v/>
      </c>
    </row>
    <row r="117" spans="1:51" ht="32.1" customHeight="1">
      <c r="A117" s="1226"/>
      <c r="B117" s="1223"/>
      <c r="C117" s="1223"/>
      <c r="D117" s="1223"/>
      <c r="E117" s="1223"/>
      <c r="F117" s="1223"/>
      <c r="G117" s="1235"/>
      <c r="H117" s="1235"/>
      <c r="I117" s="1235"/>
      <c r="J117" s="1235"/>
      <c r="K117" s="1235"/>
      <c r="L117" s="1238"/>
      <c r="M117" s="1293"/>
      <c r="N117" s="561" t="s">
        <v>170</v>
      </c>
      <c r="O117" s="152"/>
      <c r="P117" s="562" t="str">
        <f>IFERROR(VLOOKUP(K116,【参考】数式用!$A$5:$J$27,MATCH(O117,【参考】数式用!$B$4:$J$4,0)+1,0),"")</f>
        <v/>
      </c>
      <c r="Q117" s="152"/>
      <c r="R117" s="562" t="str">
        <f>IFERROR(VLOOKUP(K116,【参考】数式用!$A$5:$J$27,MATCH(Q117,【参考】数式用!$B$4:$J$4,0)+1,0),"")</f>
        <v/>
      </c>
      <c r="S117" s="173" t="s">
        <v>19</v>
      </c>
      <c r="T117" s="563">
        <v>6</v>
      </c>
      <c r="U117" s="174" t="s">
        <v>10</v>
      </c>
      <c r="V117" s="109">
        <v>4</v>
      </c>
      <c r="W117" s="174" t="s">
        <v>45</v>
      </c>
      <c r="X117" s="563">
        <v>6</v>
      </c>
      <c r="Y117" s="174" t="s">
        <v>10</v>
      </c>
      <c r="Z117" s="109">
        <v>5</v>
      </c>
      <c r="AA117" s="174" t="s">
        <v>13</v>
      </c>
      <c r="AB117" s="564" t="s">
        <v>24</v>
      </c>
      <c r="AC117" s="565">
        <f t="shared" si="120"/>
        <v>2</v>
      </c>
      <c r="AD117" s="174" t="s">
        <v>38</v>
      </c>
      <c r="AE117" s="566" t="str">
        <f>IFERROR(ROUNDDOWN(ROUND(L116*R117,0)*M116,0)*AC117,"")</f>
        <v/>
      </c>
      <c r="AF117" s="567" t="str">
        <f>IFERROR(ROUNDDOWN(ROUND(L116*(R117-P117),0)*M116,0)*AC117,"")</f>
        <v/>
      </c>
      <c r="AG117" s="568"/>
      <c r="AH117" s="453"/>
      <c r="AI117" s="454"/>
      <c r="AJ117" s="455"/>
      <c r="AK117" s="456"/>
      <c r="AL117" s="457"/>
      <c r="AM117" s="458"/>
      <c r="AN117" s="569" t="str">
        <f t="shared" ref="AN117" si="151">IF(AP116="","",IF(OR(Z116=4,Z117=4,Z118=4),"！加算の要件上は問題ありませんが、算定期間の終わりが令和６年５月になっていません。区分変更の場合は、「基本情報入力シート」で同じ事業所を２行に分けて記入してください。",""))</f>
        <v/>
      </c>
      <c r="AO117" s="570"/>
      <c r="AP117" s="557" t="str">
        <f>IF(K116&lt;&gt;"","P列・R列に色付け","")</f>
        <v/>
      </c>
      <c r="AY117" s="543" t="str">
        <f>G116</f>
        <v/>
      </c>
    </row>
    <row r="118" spans="1:51" ht="32.1" customHeight="1" thickBot="1">
      <c r="A118" s="1227"/>
      <c r="B118" s="1224"/>
      <c r="C118" s="1224"/>
      <c r="D118" s="1224"/>
      <c r="E118" s="1224"/>
      <c r="F118" s="1224"/>
      <c r="G118" s="1236"/>
      <c r="H118" s="1236"/>
      <c r="I118" s="1236"/>
      <c r="J118" s="1236"/>
      <c r="K118" s="1236"/>
      <c r="L118" s="1239"/>
      <c r="M118" s="1294"/>
      <c r="N118" s="571" t="s">
        <v>140</v>
      </c>
      <c r="O118" s="155"/>
      <c r="P118" s="591" t="str">
        <f>IFERROR(VLOOKUP(K116,【参考】数式用!$A$5:$J$27,MATCH(O118,【参考】数式用!$B$4:$J$4,0)+1,0),"")</f>
        <v/>
      </c>
      <c r="Q118" s="153"/>
      <c r="R118" s="572" t="str">
        <f>IFERROR(VLOOKUP(K116,【参考】数式用!$A$5:$J$27,MATCH(Q118,【参考】数式用!$B$4:$J$4,0)+1,0),"")</f>
        <v/>
      </c>
      <c r="S118" s="573" t="s">
        <v>19</v>
      </c>
      <c r="T118" s="574">
        <v>6</v>
      </c>
      <c r="U118" s="575" t="s">
        <v>10</v>
      </c>
      <c r="V118" s="110">
        <v>4</v>
      </c>
      <c r="W118" s="575" t="s">
        <v>45</v>
      </c>
      <c r="X118" s="574">
        <v>6</v>
      </c>
      <c r="Y118" s="575" t="s">
        <v>10</v>
      </c>
      <c r="Z118" s="110">
        <v>5</v>
      </c>
      <c r="AA118" s="575" t="s">
        <v>13</v>
      </c>
      <c r="AB118" s="576" t="s">
        <v>24</v>
      </c>
      <c r="AC118" s="577">
        <f t="shared" si="120"/>
        <v>2</v>
      </c>
      <c r="AD118" s="575" t="s">
        <v>38</v>
      </c>
      <c r="AE118" s="590" t="str">
        <f>IFERROR(ROUNDDOWN(ROUND(L116*R118,0)*M116,0)*AC118,"")</f>
        <v/>
      </c>
      <c r="AF118" s="579" t="str">
        <f>IFERROR(ROUNDDOWN(ROUND(L116*(R118-P118),0)*M116,0)*AC118,"")</f>
        <v/>
      </c>
      <c r="AG118" s="580">
        <f t="shared" si="66"/>
        <v>0</v>
      </c>
      <c r="AH118" s="459"/>
      <c r="AI118" s="460"/>
      <c r="AJ118" s="461"/>
      <c r="AK118" s="462"/>
      <c r="AL118" s="463"/>
      <c r="AM118" s="464"/>
      <c r="AN118" s="581" t="str">
        <f t="shared" ref="AN118" si="152">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82" t="str">
        <f>IF(K116&lt;&gt;"","P列・R列に色付け","")</f>
        <v/>
      </c>
      <c r="AQ118" s="583"/>
      <c r="AR118" s="583"/>
      <c r="AX118" s="584"/>
      <c r="AY118" s="543" t="str">
        <f>G116</f>
        <v/>
      </c>
    </row>
    <row r="119" spans="1:51" ht="32.1" customHeight="1">
      <c r="A119" s="1225">
        <v>36</v>
      </c>
      <c r="B119" s="1222" t="str">
        <f>IF(基本情報入力シート!C89="","",基本情報入力シート!C89)</f>
        <v/>
      </c>
      <c r="C119" s="1222"/>
      <c r="D119" s="1222"/>
      <c r="E119" s="1222"/>
      <c r="F119" s="1222"/>
      <c r="G119" s="1234" t="str">
        <f>IF(基本情報入力シート!M89="","",基本情報入力シート!M89)</f>
        <v/>
      </c>
      <c r="H119" s="1234" t="str">
        <f>IF(基本情報入力シート!R89="","",基本情報入力シート!R89)</f>
        <v/>
      </c>
      <c r="I119" s="1234" t="str">
        <f>IF(基本情報入力シート!W89="","",基本情報入力シート!W89)</f>
        <v/>
      </c>
      <c r="J119" s="1234" t="str">
        <f>IF(基本情報入力シート!X89="","",基本情報入力シート!X89)</f>
        <v/>
      </c>
      <c r="K119" s="1234" t="str">
        <f>IF(基本情報入力シート!Y89="","",基本情報入力シート!Y89)</f>
        <v/>
      </c>
      <c r="L119" s="1237" t="str">
        <f>IF(基本情報入力シート!AB89="","",基本情報入力シート!AB89)</f>
        <v/>
      </c>
      <c r="M119" s="1292" t="str">
        <f>IF(基本情報入力シート!AC89="","",基本情報入力シート!AC89)</f>
        <v/>
      </c>
      <c r="N119" s="547" t="s">
        <v>183</v>
      </c>
      <c r="O119" s="151"/>
      <c r="P119" s="548" t="str">
        <f>IFERROR(VLOOKUP(K119,【参考】数式用!$A$5:$J$27,MATCH(O119,【参考】数式用!$B$4:$J$4,0)+1,0),"")</f>
        <v/>
      </c>
      <c r="Q119" s="151"/>
      <c r="R119" s="548" t="str">
        <f>IFERROR(VLOOKUP(K119,【参考】数式用!$A$5:$J$27,MATCH(Q119,【参考】数式用!$B$4:$J$4,0)+1,0),"")</f>
        <v/>
      </c>
      <c r="S119" s="549" t="s">
        <v>19</v>
      </c>
      <c r="T119" s="550">
        <v>6</v>
      </c>
      <c r="U119" s="202" t="s">
        <v>10</v>
      </c>
      <c r="V119" s="71">
        <v>4</v>
      </c>
      <c r="W119" s="202" t="s">
        <v>45</v>
      </c>
      <c r="X119" s="550">
        <v>6</v>
      </c>
      <c r="Y119" s="202" t="s">
        <v>10</v>
      </c>
      <c r="Z119" s="71">
        <v>5</v>
      </c>
      <c r="AA119" s="202" t="s">
        <v>13</v>
      </c>
      <c r="AB119" s="551" t="s">
        <v>24</v>
      </c>
      <c r="AC119" s="552">
        <f t="shared" si="120"/>
        <v>2</v>
      </c>
      <c r="AD119" s="202" t="s">
        <v>38</v>
      </c>
      <c r="AE119" s="553" t="str">
        <f>IFERROR(ROUNDDOWN(ROUND(L119*R119,0)*M119,0)*AC119,"")</f>
        <v/>
      </c>
      <c r="AF119" s="554" t="str">
        <f>IFERROR(ROUNDDOWN(ROUND(L119*(R119-P119),0)*M119,0)*AC119,"")</f>
        <v/>
      </c>
      <c r="AG119" s="555"/>
      <c r="AH119" s="465"/>
      <c r="AI119" s="473"/>
      <c r="AJ119" s="470"/>
      <c r="AK119" s="471"/>
      <c r="AL119" s="451"/>
      <c r="AM119" s="452"/>
      <c r="AN119" s="556" t="str">
        <f t="shared" ref="AN119" si="153">IF(AP119="","",IF(R119&lt;P119,"！加算の要件上は問題ありませんが、令和６年３月と比較して４・５月に加算率が下がる計画になっています。",""))</f>
        <v/>
      </c>
      <c r="AP119" s="557" t="str">
        <f>IF(K119&lt;&gt;"","P列・R列に色付け","")</f>
        <v/>
      </c>
      <c r="AQ119" s="558" t="str">
        <f>IFERROR(VLOOKUP(K119,【参考】数式用!$AJ$2:$AK$24,2,FALSE),"")</f>
        <v/>
      </c>
      <c r="AR119" s="560" t="str">
        <f>Q119&amp;Q120&amp;Q121</f>
        <v/>
      </c>
      <c r="AS119" s="558" t="str">
        <f t="shared" ref="AS119" si="154">IF(AG121&lt;&gt;0,IF(AH121="○","入力済","未入力"),"")</f>
        <v/>
      </c>
      <c r="AT119" s="559" t="str">
        <f>IF(OR(Q119="処遇加算Ⅰ",Q119="処遇加算Ⅱ"),IF(OR(AI119="○",AI119="令和６年度中に満たす"),"入力済","未入力"),"")</f>
        <v/>
      </c>
      <c r="AU119" s="560" t="str">
        <f>IF(Q119="処遇加算Ⅲ",IF(AJ119="○","入力済","未入力"),"")</f>
        <v/>
      </c>
      <c r="AV119" s="558" t="str">
        <f>IF(Q119="処遇加算Ⅰ",IF(OR(AK119="○",AK119="令和６年度中に満たす"),"入力済","未入力"),"")</f>
        <v/>
      </c>
      <c r="AW119" s="558"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43" t="str">
        <f>IF(Q120="特定加算Ⅰ",IF(AM120="","未入力","入力済"),"")</f>
        <v/>
      </c>
      <c r="AY119" s="543" t="str">
        <f>G119</f>
        <v/>
      </c>
    </row>
    <row r="120" spans="1:51" ht="32.1" customHeight="1">
      <c r="A120" s="1226"/>
      <c r="B120" s="1223"/>
      <c r="C120" s="1223"/>
      <c r="D120" s="1223"/>
      <c r="E120" s="1223"/>
      <c r="F120" s="1223"/>
      <c r="G120" s="1235"/>
      <c r="H120" s="1235"/>
      <c r="I120" s="1235"/>
      <c r="J120" s="1235"/>
      <c r="K120" s="1235"/>
      <c r="L120" s="1238"/>
      <c r="M120" s="1293"/>
      <c r="N120" s="561" t="s">
        <v>170</v>
      </c>
      <c r="O120" s="152"/>
      <c r="P120" s="562" t="str">
        <f>IFERROR(VLOOKUP(K119,【参考】数式用!$A$5:$J$27,MATCH(O120,【参考】数式用!$B$4:$J$4,0)+1,0),"")</f>
        <v/>
      </c>
      <c r="Q120" s="152"/>
      <c r="R120" s="562" t="str">
        <f>IFERROR(VLOOKUP(K119,【参考】数式用!$A$5:$J$27,MATCH(Q120,【参考】数式用!$B$4:$J$4,0)+1,0),"")</f>
        <v/>
      </c>
      <c r="S120" s="173" t="s">
        <v>19</v>
      </c>
      <c r="T120" s="563">
        <v>6</v>
      </c>
      <c r="U120" s="174" t="s">
        <v>10</v>
      </c>
      <c r="V120" s="109">
        <v>4</v>
      </c>
      <c r="W120" s="174" t="s">
        <v>45</v>
      </c>
      <c r="X120" s="563">
        <v>6</v>
      </c>
      <c r="Y120" s="174" t="s">
        <v>10</v>
      </c>
      <c r="Z120" s="109">
        <v>5</v>
      </c>
      <c r="AA120" s="174" t="s">
        <v>13</v>
      </c>
      <c r="AB120" s="564" t="s">
        <v>24</v>
      </c>
      <c r="AC120" s="565">
        <f t="shared" si="120"/>
        <v>2</v>
      </c>
      <c r="AD120" s="174" t="s">
        <v>38</v>
      </c>
      <c r="AE120" s="566" t="str">
        <f>IFERROR(ROUNDDOWN(ROUND(L119*R120,0)*M119,0)*AC120,"")</f>
        <v/>
      </c>
      <c r="AF120" s="567" t="str">
        <f>IFERROR(ROUNDDOWN(ROUND(L119*(R120-P120),0)*M119,0)*AC120,"")</f>
        <v/>
      </c>
      <c r="AG120" s="568"/>
      <c r="AH120" s="453"/>
      <c r="AI120" s="454"/>
      <c r="AJ120" s="455"/>
      <c r="AK120" s="456"/>
      <c r="AL120" s="457"/>
      <c r="AM120" s="458"/>
      <c r="AN120" s="569" t="str">
        <f t="shared" ref="AN120" si="155">IF(AP119="","",IF(OR(Z119=4,Z120=4,Z121=4),"！加算の要件上は問題ありませんが、算定期間の終わりが令和６年５月になっていません。区分変更の場合は、「基本情報入力シート」で同じ事業所を２行に分けて記入してください。",""))</f>
        <v/>
      </c>
      <c r="AO120" s="570"/>
      <c r="AP120" s="557" t="str">
        <f>IF(K119&lt;&gt;"","P列・R列に色付け","")</f>
        <v/>
      </c>
      <c r="AY120" s="543" t="str">
        <f>G119</f>
        <v/>
      </c>
    </row>
    <row r="121" spans="1:51" ht="32.1" customHeight="1" thickBot="1">
      <c r="A121" s="1227"/>
      <c r="B121" s="1224"/>
      <c r="C121" s="1224"/>
      <c r="D121" s="1224"/>
      <c r="E121" s="1224"/>
      <c r="F121" s="1224"/>
      <c r="G121" s="1236"/>
      <c r="H121" s="1236"/>
      <c r="I121" s="1236"/>
      <c r="J121" s="1236"/>
      <c r="K121" s="1236"/>
      <c r="L121" s="1239"/>
      <c r="M121" s="1294"/>
      <c r="N121" s="571" t="s">
        <v>140</v>
      </c>
      <c r="O121" s="155"/>
      <c r="P121" s="591" t="str">
        <f>IFERROR(VLOOKUP(K119,【参考】数式用!$A$5:$J$27,MATCH(O121,【参考】数式用!$B$4:$J$4,0)+1,0),"")</f>
        <v/>
      </c>
      <c r="Q121" s="153"/>
      <c r="R121" s="572" t="str">
        <f>IFERROR(VLOOKUP(K119,【参考】数式用!$A$5:$J$27,MATCH(Q121,【参考】数式用!$B$4:$J$4,0)+1,0),"")</f>
        <v/>
      </c>
      <c r="S121" s="573" t="s">
        <v>19</v>
      </c>
      <c r="T121" s="574">
        <v>6</v>
      </c>
      <c r="U121" s="575" t="s">
        <v>10</v>
      </c>
      <c r="V121" s="110">
        <v>4</v>
      </c>
      <c r="W121" s="575" t="s">
        <v>45</v>
      </c>
      <c r="X121" s="574">
        <v>6</v>
      </c>
      <c r="Y121" s="575" t="s">
        <v>10</v>
      </c>
      <c r="Z121" s="110">
        <v>5</v>
      </c>
      <c r="AA121" s="575" t="s">
        <v>13</v>
      </c>
      <c r="AB121" s="576" t="s">
        <v>24</v>
      </c>
      <c r="AC121" s="577">
        <f t="shared" si="120"/>
        <v>2</v>
      </c>
      <c r="AD121" s="575" t="s">
        <v>38</v>
      </c>
      <c r="AE121" s="590" t="str">
        <f>IFERROR(ROUNDDOWN(ROUND(L119*R121,0)*M119,0)*AC121,"")</f>
        <v/>
      </c>
      <c r="AF121" s="579" t="str">
        <f>IFERROR(ROUNDDOWN(ROUND(L119*(R121-P121),0)*M119,0)*AC121,"")</f>
        <v/>
      </c>
      <c r="AG121" s="580">
        <f t="shared" ref="AG121:AG184" si="156">IF(AND(O121="ベア加算なし",Q121="ベア加算"),AE121,0)</f>
        <v>0</v>
      </c>
      <c r="AH121" s="459"/>
      <c r="AI121" s="460"/>
      <c r="AJ121" s="461"/>
      <c r="AK121" s="462"/>
      <c r="AL121" s="463"/>
      <c r="AM121" s="464"/>
      <c r="AN121" s="581" t="str">
        <f t="shared" ref="AN121" si="157">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82" t="str">
        <f>IF(K119&lt;&gt;"","P列・R列に色付け","")</f>
        <v/>
      </c>
      <c r="AQ121" s="583"/>
      <c r="AR121" s="583"/>
      <c r="AX121" s="584"/>
      <c r="AY121" s="543" t="str">
        <f>G119</f>
        <v/>
      </c>
    </row>
    <row r="122" spans="1:51" ht="32.1" customHeight="1">
      <c r="A122" s="1225">
        <v>37</v>
      </c>
      <c r="B122" s="1222" t="str">
        <f>IF(基本情報入力シート!C90="","",基本情報入力シート!C90)</f>
        <v/>
      </c>
      <c r="C122" s="1222"/>
      <c r="D122" s="1222"/>
      <c r="E122" s="1222"/>
      <c r="F122" s="1222"/>
      <c r="G122" s="1234" t="str">
        <f>IF(基本情報入力シート!M90="","",基本情報入力シート!M90)</f>
        <v/>
      </c>
      <c r="H122" s="1234" t="str">
        <f>IF(基本情報入力シート!R90="","",基本情報入力シート!R90)</f>
        <v/>
      </c>
      <c r="I122" s="1234" t="str">
        <f>IF(基本情報入力シート!W90="","",基本情報入力シート!W90)</f>
        <v/>
      </c>
      <c r="J122" s="1234" t="str">
        <f>IF(基本情報入力シート!X90="","",基本情報入力シート!X90)</f>
        <v/>
      </c>
      <c r="K122" s="1234" t="str">
        <f>IF(基本情報入力シート!Y90="","",基本情報入力シート!Y90)</f>
        <v/>
      </c>
      <c r="L122" s="1237" t="str">
        <f>IF(基本情報入力シート!AB90="","",基本情報入力シート!AB90)</f>
        <v/>
      </c>
      <c r="M122" s="1292" t="str">
        <f>IF(基本情報入力シート!AC90="","",基本情報入力シート!AC90)</f>
        <v/>
      </c>
      <c r="N122" s="547" t="s">
        <v>183</v>
      </c>
      <c r="O122" s="151"/>
      <c r="P122" s="548" t="str">
        <f>IFERROR(VLOOKUP(K122,【参考】数式用!$A$5:$J$27,MATCH(O122,【参考】数式用!$B$4:$J$4,0)+1,0),"")</f>
        <v/>
      </c>
      <c r="Q122" s="151"/>
      <c r="R122" s="548" t="str">
        <f>IFERROR(VLOOKUP(K122,【参考】数式用!$A$5:$J$27,MATCH(Q122,【参考】数式用!$B$4:$J$4,0)+1,0),"")</f>
        <v/>
      </c>
      <c r="S122" s="549" t="s">
        <v>19</v>
      </c>
      <c r="T122" s="550">
        <v>6</v>
      </c>
      <c r="U122" s="202" t="s">
        <v>10</v>
      </c>
      <c r="V122" s="71">
        <v>4</v>
      </c>
      <c r="W122" s="202" t="s">
        <v>45</v>
      </c>
      <c r="X122" s="550">
        <v>6</v>
      </c>
      <c r="Y122" s="202" t="s">
        <v>10</v>
      </c>
      <c r="Z122" s="71">
        <v>5</v>
      </c>
      <c r="AA122" s="202" t="s">
        <v>13</v>
      </c>
      <c r="AB122" s="551" t="s">
        <v>24</v>
      </c>
      <c r="AC122" s="552">
        <f t="shared" si="120"/>
        <v>2</v>
      </c>
      <c r="AD122" s="202" t="s">
        <v>38</v>
      </c>
      <c r="AE122" s="553" t="str">
        <f>IFERROR(ROUNDDOWN(ROUND(L122*R122,0)*M122,0)*AC122,"")</f>
        <v/>
      </c>
      <c r="AF122" s="554" t="str">
        <f>IFERROR(ROUNDDOWN(ROUND(L122*(R122-P122),0)*M122,0)*AC122,"")</f>
        <v/>
      </c>
      <c r="AG122" s="555"/>
      <c r="AH122" s="465"/>
      <c r="AI122" s="473"/>
      <c r="AJ122" s="470"/>
      <c r="AK122" s="471"/>
      <c r="AL122" s="451"/>
      <c r="AM122" s="452"/>
      <c r="AN122" s="556" t="str">
        <f t="shared" ref="AN122" si="158">IF(AP122="","",IF(R122&lt;P122,"！加算の要件上は問題ありませんが、令和６年３月と比較して４・５月に加算率が下がる計画になっています。",""))</f>
        <v/>
      </c>
      <c r="AP122" s="557" t="str">
        <f>IF(K122&lt;&gt;"","P列・R列に色付け","")</f>
        <v/>
      </c>
      <c r="AQ122" s="558" t="str">
        <f>IFERROR(VLOOKUP(K122,【参考】数式用!$AJ$2:$AK$24,2,FALSE),"")</f>
        <v/>
      </c>
      <c r="AR122" s="560" t="str">
        <f>Q122&amp;Q123&amp;Q124</f>
        <v/>
      </c>
      <c r="AS122" s="558" t="str">
        <f t="shared" ref="AS122" si="159">IF(AG124&lt;&gt;0,IF(AH124="○","入力済","未入力"),"")</f>
        <v/>
      </c>
      <c r="AT122" s="559" t="str">
        <f>IF(OR(Q122="処遇加算Ⅰ",Q122="処遇加算Ⅱ"),IF(OR(AI122="○",AI122="令和６年度中に満たす"),"入力済","未入力"),"")</f>
        <v/>
      </c>
      <c r="AU122" s="560" t="str">
        <f>IF(Q122="処遇加算Ⅲ",IF(AJ122="○","入力済","未入力"),"")</f>
        <v/>
      </c>
      <c r="AV122" s="558" t="str">
        <f>IF(Q122="処遇加算Ⅰ",IF(OR(AK122="○",AK122="令和６年度中に満たす"),"入力済","未入力"),"")</f>
        <v/>
      </c>
      <c r="AW122" s="558"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43" t="str">
        <f>IF(Q123="特定加算Ⅰ",IF(AM123="","未入力","入力済"),"")</f>
        <v/>
      </c>
      <c r="AY122" s="543" t="str">
        <f>G122</f>
        <v/>
      </c>
    </row>
    <row r="123" spans="1:51" ht="32.1" customHeight="1">
      <c r="A123" s="1226"/>
      <c r="B123" s="1223"/>
      <c r="C123" s="1223"/>
      <c r="D123" s="1223"/>
      <c r="E123" s="1223"/>
      <c r="F123" s="1223"/>
      <c r="G123" s="1235"/>
      <c r="H123" s="1235"/>
      <c r="I123" s="1235"/>
      <c r="J123" s="1235"/>
      <c r="K123" s="1235"/>
      <c r="L123" s="1238"/>
      <c r="M123" s="1293"/>
      <c r="N123" s="561" t="s">
        <v>170</v>
      </c>
      <c r="O123" s="152"/>
      <c r="P123" s="562" t="str">
        <f>IFERROR(VLOOKUP(K122,【参考】数式用!$A$5:$J$27,MATCH(O123,【参考】数式用!$B$4:$J$4,0)+1,0),"")</f>
        <v/>
      </c>
      <c r="Q123" s="152"/>
      <c r="R123" s="562" t="str">
        <f>IFERROR(VLOOKUP(K122,【参考】数式用!$A$5:$J$27,MATCH(Q123,【参考】数式用!$B$4:$J$4,0)+1,0),"")</f>
        <v/>
      </c>
      <c r="S123" s="173" t="s">
        <v>19</v>
      </c>
      <c r="T123" s="563">
        <v>6</v>
      </c>
      <c r="U123" s="174" t="s">
        <v>10</v>
      </c>
      <c r="V123" s="109">
        <v>4</v>
      </c>
      <c r="W123" s="174" t="s">
        <v>45</v>
      </c>
      <c r="X123" s="563">
        <v>6</v>
      </c>
      <c r="Y123" s="174" t="s">
        <v>10</v>
      </c>
      <c r="Z123" s="109">
        <v>5</v>
      </c>
      <c r="AA123" s="174" t="s">
        <v>13</v>
      </c>
      <c r="AB123" s="564" t="s">
        <v>24</v>
      </c>
      <c r="AC123" s="565">
        <f t="shared" si="120"/>
        <v>2</v>
      </c>
      <c r="AD123" s="174" t="s">
        <v>38</v>
      </c>
      <c r="AE123" s="566" t="str">
        <f>IFERROR(ROUNDDOWN(ROUND(L122*R123,0)*M122,0)*AC123,"")</f>
        <v/>
      </c>
      <c r="AF123" s="567" t="str">
        <f>IFERROR(ROUNDDOWN(ROUND(L122*(R123-P123),0)*M122,0)*AC123,"")</f>
        <v/>
      </c>
      <c r="AG123" s="568"/>
      <c r="AH123" s="453"/>
      <c r="AI123" s="454"/>
      <c r="AJ123" s="455"/>
      <c r="AK123" s="456"/>
      <c r="AL123" s="457"/>
      <c r="AM123" s="458"/>
      <c r="AN123" s="569" t="str">
        <f t="shared" ref="AN123" si="160">IF(AP122="","",IF(OR(Z122=4,Z123=4,Z124=4),"！加算の要件上は問題ありませんが、算定期間の終わりが令和６年５月になっていません。区分変更の場合は、「基本情報入力シート」で同じ事業所を２行に分けて記入してください。",""))</f>
        <v/>
      </c>
      <c r="AO123" s="570"/>
      <c r="AP123" s="557" t="str">
        <f>IF(K122&lt;&gt;"","P列・R列に色付け","")</f>
        <v/>
      </c>
      <c r="AY123" s="543" t="str">
        <f>G122</f>
        <v/>
      </c>
    </row>
    <row r="124" spans="1:51" ht="32.1" customHeight="1" thickBot="1">
      <c r="A124" s="1227"/>
      <c r="B124" s="1224"/>
      <c r="C124" s="1224"/>
      <c r="D124" s="1224"/>
      <c r="E124" s="1224"/>
      <c r="F124" s="1224"/>
      <c r="G124" s="1236"/>
      <c r="H124" s="1236"/>
      <c r="I124" s="1236"/>
      <c r="J124" s="1236"/>
      <c r="K124" s="1236"/>
      <c r="L124" s="1239"/>
      <c r="M124" s="1294"/>
      <c r="N124" s="571" t="s">
        <v>140</v>
      </c>
      <c r="O124" s="155"/>
      <c r="P124" s="591" t="str">
        <f>IFERROR(VLOOKUP(K122,【参考】数式用!$A$5:$J$27,MATCH(O124,【参考】数式用!$B$4:$J$4,0)+1,0),"")</f>
        <v/>
      </c>
      <c r="Q124" s="153"/>
      <c r="R124" s="572" t="str">
        <f>IFERROR(VLOOKUP(K122,【参考】数式用!$A$5:$J$27,MATCH(Q124,【参考】数式用!$B$4:$J$4,0)+1,0),"")</f>
        <v/>
      </c>
      <c r="S124" s="573" t="s">
        <v>19</v>
      </c>
      <c r="T124" s="574">
        <v>6</v>
      </c>
      <c r="U124" s="575" t="s">
        <v>10</v>
      </c>
      <c r="V124" s="110">
        <v>4</v>
      </c>
      <c r="W124" s="575" t="s">
        <v>45</v>
      </c>
      <c r="X124" s="574">
        <v>6</v>
      </c>
      <c r="Y124" s="575" t="s">
        <v>10</v>
      </c>
      <c r="Z124" s="110">
        <v>5</v>
      </c>
      <c r="AA124" s="575" t="s">
        <v>13</v>
      </c>
      <c r="AB124" s="576" t="s">
        <v>24</v>
      </c>
      <c r="AC124" s="577">
        <f t="shared" si="120"/>
        <v>2</v>
      </c>
      <c r="AD124" s="575" t="s">
        <v>38</v>
      </c>
      <c r="AE124" s="590" t="str">
        <f>IFERROR(ROUNDDOWN(ROUND(L122*R124,0)*M122,0)*AC124,"")</f>
        <v/>
      </c>
      <c r="AF124" s="579" t="str">
        <f>IFERROR(ROUNDDOWN(ROUND(L122*(R124-P124),0)*M122,0)*AC124,"")</f>
        <v/>
      </c>
      <c r="AG124" s="580">
        <f t="shared" si="156"/>
        <v>0</v>
      </c>
      <c r="AH124" s="459"/>
      <c r="AI124" s="460"/>
      <c r="AJ124" s="461"/>
      <c r="AK124" s="462"/>
      <c r="AL124" s="463"/>
      <c r="AM124" s="464"/>
      <c r="AN124" s="581" t="str">
        <f t="shared" ref="AN124" si="161">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82" t="str">
        <f>IF(K122&lt;&gt;"","P列・R列に色付け","")</f>
        <v/>
      </c>
      <c r="AQ124" s="583"/>
      <c r="AR124" s="583"/>
      <c r="AX124" s="584"/>
      <c r="AY124" s="543" t="str">
        <f>G122</f>
        <v/>
      </c>
    </row>
    <row r="125" spans="1:51" ht="32.1" customHeight="1">
      <c r="A125" s="1225">
        <v>38</v>
      </c>
      <c r="B125" s="1222" t="str">
        <f>IF(基本情報入力シート!C91="","",基本情報入力シート!C91)</f>
        <v/>
      </c>
      <c r="C125" s="1222"/>
      <c r="D125" s="1222"/>
      <c r="E125" s="1222"/>
      <c r="F125" s="1222"/>
      <c r="G125" s="1234" t="str">
        <f>IF(基本情報入力シート!M91="","",基本情報入力シート!M91)</f>
        <v/>
      </c>
      <c r="H125" s="1234" t="str">
        <f>IF(基本情報入力シート!R91="","",基本情報入力シート!R91)</f>
        <v/>
      </c>
      <c r="I125" s="1234" t="str">
        <f>IF(基本情報入力シート!W91="","",基本情報入力シート!W91)</f>
        <v/>
      </c>
      <c r="J125" s="1234" t="str">
        <f>IF(基本情報入力シート!X91="","",基本情報入力シート!X91)</f>
        <v/>
      </c>
      <c r="K125" s="1234" t="str">
        <f>IF(基本情報入力シート!Y91="","",基本情報入力シート!Y91)</f>
        <v/>
      </c>
      <c r="L125" s="1237" t="str">
        <f>IF(基本情報入力シート!AB91="","",基本情報入力シート!AB91)</f>
        <v/>
      </c>
      <c r="M125" s="1292" t="str">
        <f>IF(基本情報入力シート!AC91="","",基本情報入力シート!AC91)</f>
        <v/>
      </c>
      <c r="N125" s="547" t="s">
        <v>183</v>
      </c>
      <c r="O125" s="151"/>
      <c r="P125" s="548" t="str">
        <f>IFERROR(VLOOKUP(K125,【参考】数式用!$A$5:$J$27,MATCH(O125,【参考】数式用!$B$4:$J$4,0)+1,0),"")</f>
        <v/>
      </c>
      <c r="Q125" s="151"/>
      <c r="R125" s="548" t="str">
        <f>IFERROR(VLOOKUP(K125,【参考】数式用!$A$5:$J$27,MATCH(Q125,【参考】数式用!$B$4:$J$4,0)+1,0),"")</f>
        <v/>
      </c>
      <c r="S125" s="549" t="s">
        <v>19</v>
      </c>
      <c r="T125" s="550">
        <v>6</v>
      </c>
      <c r="U125" s="202" t="s">
        <v>10</v>
      </c>
      <c r="V125" s="71">
        <v>4</v>
      </c>
      <c r="W125" s="202" t="s">
        <v>45</v>
      </c>
      <c r="X125" s="550">
        <v>6</v>
      </c>
      <c r="Y125" s="202" t="s">
        <v>10</v>
      </c>
      <c r="Z125" s="71">
        <v>5</v>
      </c>
      <c r="AA125" s="202" t="s">
        <v>13</v>
      </c>
      <c r="AB125" s="551" t="s">
        <v>24</v>
      </c>
      <c r="AC125" s="552">
        <f t="shared" si="120"/>
        <v>2</v>
      </c>
      <c r="AD125" s="202" t="s">
        <v>38</v>
      </c>
      <c r="AE125" s="553" t="str">
        <f>IFERROR(ROUNDDOWN(ROUND(L125*R125,0)*M125,0)*AC125,"")</f>
        <v/>
      </c>
      <c r="AF125" s="554" t="str">
        <f>IFERROR(ROUNDDOWN(ROUND(L125*(R125-P125),0)*M125,0)*AC125,"")</f>
        <v/>
      </c>
      <c r="AG125" s="555"/>
      <c r="AH125" s="465"/>
      <c r="AI125" s="473"/>
      <c r="AJ125" s="470"/>
      <c r="AK125" s="471"/>
      <c r="AL125" s="451"/>
      <c r="AM125" s="452"/>
      <c r="AN125" s="556" t="str">
        <f t="shared" ref="AN125" si="162">IF(AP125="","",IF(R125&lt;P125,"！加算の要件上は問題ありませんが、令和６年３月と比較して４・５月に加算率が下がる計画になっています。",""))</f>
        <v/>
      </c>
      <c r="AP125" s="557" t="str">
        <f>IF(K125&lt;&gt;"","P列・R列に色付け","")</f>
        <v/>
      </c>
      <c r="AQ125" s="558" t="str">
        <f>IFERROR(VLOOKUP(K125,【参考】数式用!$AJ$2:$AK$24,2,FALSE),"")</f>
        <v/>
      </c>
      <c r="AR125" s="560" t="str">
        <f>Q125&amp;Q126&amp;Q127</f>
        <v/>
      </c>
      <c r="AS125" s="558" t="str">
        <f t="shared" ref="AS125" si="163">IF(AG127&lt;&gt;0,IF(AH127="○","入力済","未入力"),"")</f>
        <v/>
      </c>
      <c r="AT125" s="559" t="str">
        <f>IF(OR(Q125="処遇加算Ⅰ",Q125="処遇加算Ⅱ"),IF(OR(AI125="○",AI125="令和６年度中に満たす"),"入力済","未入力"),"")</f>
        <v/>
      </c>
      <c r="AU125" s="560" t="str">
        <f>IF(Q125="処遇加算Ⅲ",IF(AJ125="○","入力済","未入力"),"")</f>
        <v/>
      </c>
      <c r="AV125" s="558" t="str">
        <f>IF(Q125="処遇加算Ⅰ",IF(OR(AK125="○",AK125="令和６年度中に満たす"),"入力済","未入力"),"")</f>
        <v/>
      </c>
      <c r="AW125" s="558"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43" t="str">
        <f>IF(Q126="特定加算Ⅰ",IF(AM126="","未入力","入力済"),"")</f>
        <v/>
      </c>
      <c r="AY125" s="543" t="str">
        <f>G125</f>
        <v/>
      </c>
    </row>
    <row r="126" spans="1:51" ht="32.1" customHeight="1">
      <c r="A126" s="1226"/>
      <c r="B126" s="1223"/>
      <c r="C126" s="1223"/>
      <c r="D126" s="1223"/>
      <c r="E126" s="1223"/>
      <c r="F126" s="1223"/>
      <c r="G126" s="1235"/>
      <c r="H126" s="1235"/>
      <c r="I126" s="1235"/>
      <c r="J126" s="1235"/>
      <c r="K126" s="1235"/>
      <c r="L126" s="1238"/>
      <c r="M126" s="1293"/>
      <c r="N126" s="561" t="s">
        <v>170</v>
      </c>
      <c r="O126" s="152"/>
      <c r="P126" s="562" t="str">
        <f>IFERROR(VLOOKUP(K125,【参考】数式用!$A$5:$J$27,MATCH(O126,【参考】数式用!$B$4:$J$4,0)+1,0),"")</f>
        <v/>
      </c>
      <c r="Q126" s="152"/>
      <c r="R126" s="562" t="str">
        <f>IFERROR(VLOOKUP(K125,【参考】数式用!$A$5:$J$27,MATCH(Q126,【参考】数式用!$B$4:$J$4,0)+1,0),"")</f>
        <v/>
      </c>
      <c r="S126" s="173" t="s">
        <v>19</v>
      </c>
      <c r="T126" s="563">
        <v>6</v>
      </c>
      <c r="U126" s="174" t="s">
        <v>10</v>
      </c>
      <c r="V126" s="109">
        <v>4</v>
      </c>
      <c r="W126" s="174" t="s">
        <v>45</v>
      </c>
      <c r="X126" s="563">
        <v>6</v>
      </c>
      <c r="Y126" s="174" t="s">
        <v>10</v>
      </c>
      <c r="Z126" s="109">
        <v>5</v>
      </c>
      <c r="AA126" s="174" t="s">
        <v>13</v>
      </c>
      <c r="AB126" s="564" t="s">
        <v>24</v>
      </c>
      <c r="AC126" s="565">
        <f t="shared" si="120"/>
        <v>2</v>
      </c>
      <c r="AD126" s="174" t="s">
        <v>38</v>
      </c>
      <c r="AE126" s="566" t="str">
        <f>IFERROR(ROUNDDOWN(ROUND(L125*R126,0)*M125,0)*AC126,"")</f>
        <v/>
      </c>
      <c r="AF126" s="567" t="str">
        <f>IFERROR(ROUNDDOWN(ROUND(L125*(R126-P126),0)*M125,0)*AC126,"")</f>
        <v/>
      </c>
      <c r="AG126" s="568"/>
      <c r="AH126" s="453"/>
      <c r="AI126" s="454"/>
      <c r="AJ126" s="455"/>
      <c r="AK126" s="456"/>
      <c r="AL126" s="457"/>
      <c r="AM126" s="458"/>
      <c r="AN126" s="569" t="str">
        <f t="shared" ref="AN126" si="164">IF(AP125="","",IF(OR(Z125=4,Z126=4,Z127=4),"！加算の要件上は問題ありませんが、算定期間の終わりが令和６年５月になっていません。区分変更の場合は、「基本情報入力シート」で同じ事業所を２行に分けて記入してください。",""))</f>
        <v/>
      </c>
      <c r="AO126" s="570"/>
      <c r="AP126" s="557" t="str">
        <f>IF(K125&lt;&gt;"","P列・R列に色付け","")</f>
        <v/>
      </c>
      <c r="AY126" s="543" t="str">
        <f>G125</f>
        <v/>
      </c>
    </row>
    <row r="127" spans="1:51" ht="32.1" customHeight="1" thickBot="1">
      <c r="A127" s="1227"/>
      <c r="B127" s="1224"/>
      <c r="C127" s="1224"/>
      <c r="D127" s="1224"/>
      <c r="E127" s="1224"/>
      <c r="F127" s="1224"/>
      <c r="G127" s="1236"/>
      <c r="H127" s="1236"/>
      <c r="I127" s="1236"/>
      <c r="J127" s="1236"/>
      <c r="K127" s="1236"/>
      <c r="L127" s="1239"/>
      <c r="M127" s="1294"/>
      <c r="N127" s="571" t="s">
        <v>140</v>
      </c>
      <c r="O127" s="155"/>
      <c r="P127" s="591" t="str">
        <f>IFERROR(VLOOKUP(K125,【参考】数式用!$A$5:$J$27,MATCH(O127,【参考】数式用!$B$4:$J$4,0)+1,0),"")</f>
        <v/>
      </c>
      <c r="Q127" s="153"/>
      <c r="R127" s="572" t="str">
        <f>IFERROR(VLOOKUP(K125,【参考】数式用!$A$5:$J$27,MATCH(Q127,【参考】数式用!$B$4:$J$4,0)+1,0),"")</f>
        <v/>
      </c>
      <c r="S127" s="573" t="s">
        <v>19</v>
      </c>
      <c r="T127" s="574">
        <v>6</v>
      </c>
      <c r="U127" s="575" t="s">
        <v>10</v>
      </c>
      <c r="V127" s="110">
        <v>4</v>
      </c>
      <c r="W127" s="575" t="s">
        <v>45</v>
      </c>
      <c r="X127" s="574">
        <v>6</v>
      </c>
      <c r="Y127" s="575" t="s">
        <v>10</v>
      </c>
      <c r="Z127" s="110">
        <v>5</v>
      </c>
      <c r="AA127" s="575" t="s">
        <v>13</v>
      </c>
      <c r="AB127" s="576" t="s">
        <v>24</v>
      </c>
      <c r="AC127" s="577">
        <f t="shared" si="120"/>
        <v>2</v>
      </c>
      <c r="AD127" s="575" t="s">
        <v>38</v>
      </c>
      <c r="AE127" s="590" t="str">
        <f>IFERROR(ROUNDDOWN(ROUND(L125*R127,0)*M125,0)*AC127,"")</f>
        <v/>
      </c>
      <c r="AF127" s="579" t="str">
        <f>IFERROR(ROUNDDOWN(ROUND(L125*(R127-P127),0)*M125,0)*AC127,"")</f>
        <v/>
      </c>
      <c r="AG127" s="580">
        <f t="shared" si="156"/>
        <v>0</v>
      </c>
      <c r="AH127" s="459"/>
      <c r="AI127" s="460"/>
      <c r="AJ127" s="461"/>
      <c r="AK127" s="462"/>
      <c r="AL127" s="463"/>
      <c r="AM127" s="464"/>
      <c r="AN127" s="581" t="str">
        <f t="shared" ref="AN127" si="165">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82" t="str">
        <f>IF(K125&lt;&gt;"","P列・R列に色付け","")</f>
        <v/>
      </c>
      <c r="AQ127" s="583"/>
      <c r="AR127" s="583"/>
      <c r="AX127" s="584"/>
      <c r="AY127" s="543" t="str">
        <f>G125</f>
        <v/>
      </c>
    </row>
    <row r="128" spans="1:51" ht="32.1" customHeight="1">
      <c r="A128" s="1225">
        <v>39</v>
      </c>
      <c r="B128" s="1222" t="str">
        <f>IF(基本情報入力シート!C92="","",基本情報入力シート!C92)</f>
        <v/>
      </c>
      <c r="C128" s="1222"/>
      <c r="D128" s="1222"/>
      <c r="E128" s="1222"/>
      <c r="F128" s="1222"/>
      <c r="G128" s="1234" t="str">
        <f>IF(基本情報入力シート!M92="","",基本情報入力シート!M92)</f>
        <v/>
      </c>
      <c r="H128" s="1234" t="str">
        <f>IF(基本情報入力シート!R92="","",基本情報入力シート!R92)</f>
        <v/>
      </c>
      <c r="I128" s="1234" t="str">
        <f>IF(基本情報入力シート!W92="","",基本情報入力シート!W92)</f>
        <v/>
      </c>
      <c r="J128" s="1234" t="str">
        <f>IF(基本情報入力シート!X92="","",基本情報入力シート!X92)</f>
        <v/>
      </c>
      <c r="K128" s="1234" t="str">
        <f>IF(基本情報入力シート!Y92="","",基本情報入力シート!Y92)</f>
        <v/>
      </c>
      <c r="L128" s="1237" t="str">
        <f>IF(基本情報入力シート!AB92="","",基本情報入力シート!AB92)</f>
        <v/>
      </c>
      <c r="M128" s="1292" t="str">
        <f>IF(基本情報入力シート!AC92="","",基本情報入力シート!AC92)</f>
        <v/>
      </c>
      <c r="N128" s="547" t="s">
        <v>183</v>
      </c>
      <c r="O128" s="151"/>
      <c r="P128" s="548" t="str">
        <f>IFERROR(VLOOKUP(K128,【参考】数式用!$A$5:$J$27,MATCH(O128,【参考】数式用!$B$4:$J$4,0)+1,0),"")</f>
        <v/>
      </c>
      <c r="Q128" s="151"/>
      <c r="R128" s="548" t="str">
        <f>IFERROR(VLOOKUP(K128,【参考】数式用!$A$5:$J$27,MATCH(Q128,【参考】数式用!$B$4:$J$4,0)+1,0),"")</f>
        <v/>
      </c>
      <c r="S128" s="549" t="s">
        <v>19</v>
      </c>
      <c r="T128" s="550">
        <v>6</v>
      </c>
      <c r="U128" s="202" t="s">
        <v>10</v>
      </c>
      <c r="V128" s="71">
        <v>4</v>
      </c>
      <c r="W128" s="202" t="s">
        <v>45</v>
      </c>
      <c r="X128" s="550">
        <v>6</v>
      </c>
      <c r="Y128" s="202" t="s">
        <v>10</v>
      </c>
      <c r="Z128" s="71">
        <v>5</v>
      </c>
      <c r="AA128" s="202" t="s">
        <v>13</v>
      </c>
      <c r="AB128" s="551" t="s">
        <v>24</v>
      </c>
      <c r="AC128" s="552">
        <f t="shared" si="120"/>
        <v>2</v>
      </c>
      <c r="AD128" s="202" t="s">
        <v>38</v>
      </c>
      <c r="AE128" s="553" t="str">
        <f>IFERROR(ROUNDDOWN(ROUND(L128*R128,0)*M128,0)*AC128,"")</f>
        <v/>
      </c>
      <c r="AF128" s="554" t="str">
        <f>IFERROR(ROUNDDOWN(ROUND(L128*(R128-P128),0)*M128,0)*AC128,"")</f>
        <v/>
      </c>
      <c r="AG128" s="555"/>
      <c r="AH128" s="465"/>
      <c r="AI128" s="473"/>
      <c r="AJ128" s="470"/>
      <c r="AK128" s="471"/>
      <c r="AL128" s="451"/>
      <c r="AM128" s="452"/>
      <c r="AN128" s="556" t="str">
        <f t="shared" ref="AN128" si="166">IF(AP128="","",IF(R128&lt;P128,"！加算の要件上は問題ありませんが、令和６年３月と比較して４・５月に加算率が下がる計画になっています。",""))</f>
        <v/>
      </c>
      <c r="AP128" s="557" t="str">
        <f>IF(K128&lt;&gt;"","P列・R列に色付け","")</f>
        <v/>
      </c>
      <c r="AQ128" s="558" t="str">
        <f>IFERROR(VLOOKUP(K128,【参考】数式用!$AJ$2:$AK$24,2,FALSE),"")</f>
        <v/>
      </c>
      <c r="AR128" s="560" t="str">
        <f>Q128&amp;Q129&amp;Q130</f>
        <v/>
      </c>
      <c r="AS128" s="558" t="str">
        <f t="shared" ref="AS128" si="167">IF(AG130&lt;&gt;0,IF(AH130="○","入力済","未入力"),"")</f>
        <v/>
      </c>
      <c r="AT128" s="559" t="str">
        <f>IF(OR(Q128="処遇加算Ⅰ",Q128="処遇加算Ⅱ"),IF(OR(AI128="○",AI128="令和６年度中に満たす"),"入力済","未入力"),"")</f>
        <v/>
      </c>
      <c r="AU128" s="560" t="str">
        <f>IF(Q128="処遇加算Ⅲ",IF(AJ128="○","入力済","未入力"),"")</f>
        <v/>
      </c>
      <c r="AV128" s="558" t="str">
        <f>IF(Q128="処遇加算Ⅰ",IF(OR(AK128="○",AK128="令和６年度中に満たす"),"入力済","未入力"),"")</f>
        <v/>
      </c>
      <c r="AW128" s="558"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43" t="str">
        <f>IF(Q129="特定加算Ⅰ",IF(AM129="","未入力","入力済"),"")</f>
        <v/>
      </c>
      <c r="AY128" s="543" t="str">
        <f>G128</f>
        <v/>
      </c>
    </row>
    <row r="129" spans="1:51" ht="32.1" customHeight="1">
      <c r="A129" s="1226"/>
      <c r="B129" s="1223"/>
      <c r="C129" s="1223"/>
      <c r="D129" s="1223"/>
      <c r="E129" s="1223"/>
      <c r="F129" s="1223"/>
      <c r="G129" s="1235"/>
      <c r="H129" s="1235"/>
      <c r="I129" s="1235"/>
      <c r="J129" s="1235"/>
      <c r="K129" s="1235"/>
      <c r="L129" s="1238"/>
      <c r="M129" s="1293"/>
      <c r="N129" s="561" t="s">
        <v>170</v>
      </c>
      <c r="O129" s="152"/>
      <c r="P129" s="562" t="str">
        <f>IFERROR(VLOOKUP(K128,【参考】数式用!$A$5:$J$27,MATCH(O129,【参考】数式用!$B$4:$J$4,0)+1,0),"")</f>
        <v/>
      </c>
      <c r="Q129" s="152"/>
      <c r="R129" s="562" t="str">
        <f>IFERROR(VLOOKUP(K128,【参考】数式用!$A$5:$J$27,MATCH(Q129,【参考】数式用!$B$4:$J$4,0)+1,0),"")</f>
        <v/>
      </c>
      <c r="S129" s="173" t="s">
        <v>19</v>
      </c>
      <c r="T129" s="563">
        <v>6</v>
      </c>
      <c r="U129" s="174" t="s">
        <v>10</v>
      </c>
      <c r="V129" s="109">
        <v>4</v>
      </c>
      <c r="W129" s="174" t="s">
        <v>45</v>
      </c>
      <c r="X129" s="563">
        <v>6</v>
      </c>
      <c r="Y129" s="174" t="s">
        <v>10</v>
      </c>
      <c r="Z129" s="109">
        <v>5</v>
      </c>
      <c r="AA129" s="174" t="s">
        <v>13</v>
      </c>
      <c r="AB129" s="564" t="s">
        <v>24</v>
      </c>
      <c r="AC129" s="565">
        <f t="shared" si="120"/>
        <v>2</v>
      </c>
      <c r="AD129" s="174" t="s">
        <v>38</v>
      </c>
      <c r="AE129" s="566" t="str">
        <f>IFERROR(ROUNDDOWN(ROUND(L128*R129,0)*M128,0)*AC129,"")</f>
        <v/>
      </c>
      <c r="AF129" s="567" t="str">
        <f>IFERROR(ROUNDDOWN(ROUND(L128*(R129-P129),0)*M128,0)*AC129,"")</f>
        <v/>
      </c>
      <c r="AG129" s="568"/>
      <c r="AH129" s="453"/>
      <c r="AI129" s="454"/>
      <c r="AJ129" s="455"/>
      <c r="AK129" s="456"/>
      <c r="AL129" s="457"/>
      <c r="AM129" s="458"/>
      <c r="AN129" s="569" t="str">
        <f t="shared" ref="AN129" si="168">IF(AP128="","",IF(OR(Z128=4,Z129=4,Z130=4),"！加算の要件上は問題ありませんが、算定期間の終わりが令和６年５月になっていません。区分変更の場合は、「基本情報入力シート」で同じ事業所を２行に分けて記入してください。",""))</f>
        <v/>
      </c>
      <c r="AO129" s="570"/>
      <c r="AP129" s="557" t="str">
        <f>IF(K128&lt;&gt;"","P列・R列に色付け","")</f>
        <v/>
      </c>
      <c r="AY129" s="543" t="str">
        <f>G128</f>
        <v/>
      </c>
    </row>
    <row r="130" spans="1:51" ht="32.1" customHeight="1" thickBot="1">
      <c r="A130" s="1227"/>
      <c r="B130" s="1224"/>
      <c r="C130" s="1224"/>
      <c r="D130" s="1224"/>
      <c r="E130" s="1224"/>
      <c r="F130" s="1224"/>
      <c r="G130" s="1236"/>
      <c r="H130" s="1236"/>
      <c r="I130" s="1236"/>
      <c r="J130" s="1236"/>
      <c r="K130" s="1236"/>
      <c r="L130" s="1239"/>
      <c r="M130" s="1294"/>
      <c r="N130" s="571" t="s">
        <v>140</v>
      </c>
      <c r="O130" s="155"/>
      <c r="P130" s="591" t="str">
        <f>IFERROR(VLOOKUP(K128,【参考】数式用!$A$5:$J$27,MATCH(O130,【参考】数式用!$B$4:$J$4,0)+1,0),"")</f>
        <v/>
      </c>
      <c r="Q130" s="153"/>
      <c r="R130" s="572" t="str">
        <f>IFERROR(VLOOKUP(K128,【参考】数式用!$A$5:$J$27,MATCH(Q130,【参考】数式用!$B$4:$J$4,0)+1,0),"")</f>
        <v/>
      </c>
      <c r="S130" s="573" t="s">
        <v>19</v>
      </c>
      <c r="T130" s="574">
        <v>6</v>
      </c>
      <c r="U130" s="575" t="s">
        <v>10</v>
      </c>
      <c r="V130" s="110">
        <v>4</v>
      </c>
      <c r="W130" s="575" t="s">
        <v>45</v>
      </c>
      <c r="X130" s="574">
        <v>6</v>
      </c>
      <c r="Y130" s="575" t="s">
        <v>10</v>
      </c>
      <c r="Z130" s="110">
        <v>5</v>
      </c>
      <c r="AA130" s="575" t="s">
        <v>13</v>
      </c>
      <c r="AB130" s="576" t="s">
        <v>24</v>
      </c>
      <c r="AC130" s="577">
        <f t="shared" si="120"/>
        <v>2</v>
      </c>
      <c r="AD130" s="575" t="s">
        <v>38</v>
      </c>
      <c r="AE130" s="590" t="str">
        <f>IFERROR(ROUNDDOWN(ROUND(L128*R130,0)*M128,0)*AC130,"")</f>
        <v/>
      </c>
      <c r="AF130" s="579" t="str">
        <f>IFERROR(ROUNDDOWN(ROUND(L128*(R130-P130),0)*M128,0)*AC130,"")</f>
        <v/>
      </c>
      <c r="AG130" s="580">
        <f t="shared" si="156"/>
        <v>0</v>
      </c>
      <c r="AH130" s="459"/>
      <c r="AI130" s="460"/>
      <c r="AJ130" s="461"/>
      <c r="AK130" s="462"/>
      <c r="AL130" s="463"/>
      <c r="AM130" s="464"/>
      <c r="AN130" s="581" t="str">
        <f t="shared" ref="AN130" si="169">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82" t="str">
        <f>IF(K128&lt;&gt;"","P列・R列に色付け","")</f>
        <v/>
      </c>
      <c r="AQ130" s="583"/>
      <c r="AR130" s="583"/>
      <c r="AX130" s="584"/>
      <c r="AY130" s="543" t="str">
        <f>G128</f>
        <v/>
      </c>
    </row>
    <row r="131" spans="1:51" ht="32.1" customHeight="1">
      <c r="A131" s="1225">
        <v>40</v>
      </c>
      <c r="B131" s="1222" t="str">
        <f>IF(基本情報入力シート!C93="","",基本情報入力シート!C93)</f>
        <v/>
      </c>
      <c r="C131" s="1222"/>
      <c r="D131" s="1222"/>
      <c r="E131" s="1222"/>
      <c r="F131" s="1222"/>
      <c r="G131" s="1234" t="str">
        <f>IF(基本情報入力シート!M93="","",基本情報入力シート!M93)</f>
        <v/>
      </c>
      <c r="H131" s="1234" t="str">
        <f>IF(基本情報入力シート!R93="","",基本情報入力シート!R93)</f>
        <v/>
      </c>
      <c r="I131" s="1234" t="str">
        <f>IF(基本情報入力シート!W93="","",基本情報入力シート!W93)</f>
        <v/>
      </c>
      <c r="J131" s="1234" t="str">
        <f>IF(基本情報入力シート!X93="","",基本情報入力シート!X93)</f>
        <v/>
      </c>
      <c r="K131" s="1234" t="str">
        <f>IF(基本情報入力シート!Y93="","",基本情報入力シート!Y93)</f>
        <v/>
      </c>
      <c r="L131" s="1237" t="str">
        <f>IF(基本情報入力シート!AB93="","",基本情報入力シート!AB93)</f>
        <v/>
      </c>
      <c r="M131" s="1292" t="str">
        <f>IF(基本情報入力シート!AC93="","",基本情報入力シート!AC93)</f>
        <v/>
      </c>
      <c r="N131" s="547" t="s">
        <v>183</v>
      </c>
      <c r="O131" s="151"/>
      <c r="P131" s="548" t="str">
        <f>IFERROR(VLOOKUP(K131,【参考】数式用!$A$5:$J$27,MATCH(O131,【参考】数式用!$B$4:$J$4,0)+1,0),"")</f>
        <v/>
      </c>
      <c r="Q131" s="151"/>
      <c r="R131" s="548" t="str">
        <f>IFERROR(VLOOKUP(K131,【参考】数式用!$A$5:$J$27,MATCH(Q131,【参考】数式用!$B$4:$J$4,0)+1,0),"")</f>
        <v/>
      </c>
      <c r="S131" s="549" t="s">
        <v>19</v>
      </c>
      <c r="T131" s="550">
        <v>6</v>
      </c>
      <c r="U131" s="202" t="s">
        <v>10</v>
      </c>
      <c r="V131" s="71">
        <v>4</v>
      </c>
      <c r="W131" s="202" t="s">
        <v>45</v>
      </c>
      <c r="X131" s="550">
        <v>6</v>
      </c>
      <c r="Y131" s="202" t="s">
        <v>10</v>
      </c>
      <c r="Z131" s="71">
        <v>5</v>
      </c>
      <c r="AA131" s="202" t="s">
        <v>13</v>
      </c>
      <c r="AB131" s="551" t="s">
        <v>24</v>
      </c>
      <c r="AC131" s="552">
        <f t="shared" si="120"/>
        <v>2</v>
      </c>
      <c r="AD131" s="202" t="s">
        <v>38</v>
      </c>
      <c r="AE131" s="553" t="str">
        <f>IFERROR(ROUNDDOWN(ROUND(L131*R131,0)*M131,0)*AC131,"")</f>
        <v/>
      </c>
      <c r="AF131" s="554" t="str">
        <f>IFERROR(ROUNDDOWN(ROUND(L131*(R131-P131),0)*M131,0)*AC131,"")</f>
        <v/>
      </c>
      <c r="AG131" s="555"/>
      <c r="AH131" s="465"/>
      <c r="AI131" s="473"/>
      <c r="AJ131" s="470"/>
      <c r="AK131" s="471"/>
      <c r="AL131" s="451"/>
      <c r="AM131" s="452"/>
      <c r="AN131" s="556" t="str">
        <f t="shared" ref="AN131" si="170">IF(AP131="","",IF(R131&lt;P131,"！加算の要件上は問題ありませんが、令和６年３月と比較して４・５月に加算率が下がる計画になっています。",""))</f>
        <v/>
      </c>
      <c r="AP131" s="557" t="str">
        <f>IF(K131&lt;&gt;"","P列・R列に色付け","")</f>
        <v/>
      </c>
      <c r="AQ131" s="558" t="str">
        <f>IFERROR(VLOOKUP(K131,【参考】数式用!$AJ$2:$AK$24,2,FALSE),"")</f>
        <v/>
      </c>
      <c r="AR131" s="560" t="str">
        <f>Q131&amp;Q132&amp;Q133</f>
        <v/>
      </c>
      <c r="AS131" s="558" t="str">
        <f t="shared" ref="AS131" si="171">IF(AG133&lt;&gt;0,IF(AH133="○","入力済","未入力"),"")</f>
        <v/>
      </c>
      <c r="AT131" s="559" t="str">
        <f>IF(OR(Q131="処遇加算Ⅰ",Q131="処遇加算Ⅱ"),IF(OR(AI131="○",AI131="令和６年度中に満たす"),"入力済","未入力"),"")</f>
        <v/>
      </c>
      <c r="AU131" s="560" t="str">
        <f>IF(Q131="処遇加算Ⅲ",IF(AJ131="○","入力済","未入力"),"")</f>
        <v/>
      </c>
      <c r="AV131" s="558" t="str">
        <f>IF(Q131="処遇加算Ⅰ",IF(OR(AK131="○",AK131="令和６年度中に満たす"),"入力済","未入力"),"")</f>
        <v/>
      </c>
      <c r="AW131" s="558"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43" t="str">
        <f>IF(Q132="特定加算Ⅰ",IF(AM132="","未入力","入力済"),"")</f>
        <v/>
      </c>
      <c r="AY131" s="543" t="str">
        <f>G131</f>
        <v/>
      </c>
    </row>
    <row r="132" spans="1:51" ht="32.1" customHeight="1">
      <c r="A132" s="1226"/>
      <c r="B132" s="1223"/>
      <c r="C132" s="1223"/>
      <c r="D132" s="1223"/>
      <c r="E132" s="1223"/>
      <c r="F132" s="1223"/>
      <c r="G132" s="1235"/>
      <c r="H132" s="1235"/>
      <c r="I132" s="1235"/>
      <c r="J132" s="1235"/>
      <c r="K132" s="1235"/>
      <c r="L132" s="1238"/>
      <c r="M132" s="1293"/>
      <c r="N132" s="561" t="s">
        <v>170</v>
      </c>
      <c r="O132" s="152"/>
      <c r="P132" s="562" t="str">
        <f>IFERROR(VLOOKUP(K131,【参考】数式用!$A$5:$J$27,MATCH(O132,【参考】数式用!$B$4:$J$4,0)+1,0),"")</f>
        <v/>
      </c>
      <c r="Q132" s="152"/>
      <c r="R132" s="562" t="str">
        <f>IFERROR(VLOOKUP(K131,【参考】数式用!$A$5:$J$27,MATCH(Q132,【参考】数式用!$B$4:$J$4,0)+1,0),"")</f>
        <v/>
      </c>
      <c r="S132" s="173" t="s">
        <v>19</v>
      </c>
      <c r="T132" s="563">
        <v>6</v>
      </c>
      <c r="U132" s="174" t="s">
        <v>10</v>
      </c>
      <c r="V132" s="109">
        <v>4</v>
      </c>
      <c r="W132" s="174" t="s">
        <v>45</v>
      </c>
      <c r="X132" s="563">
        <v>6</v>
      </c>
      <c r="Y132" s="174" t="s">
        <v>10</v>
      </c>
      <c r="Z132" s="109">
        <v>5</v>
      </c>
      <c r="AA132" s="174" t="s">
        <v>13</v>
      </c>
      <c r="AB132" s="564" t="s">
        <v>24</v>
      </c>
      <c r="AC132" s="565">
        <f t="shared" si="120"/>
        <v>2</v>
      </c>
      <c r="AD132" s="174" t="s">
        <v>38</v>
      </c>
      <c r="AE132" s="566" t="str">
        <f>IFERROR(ROUNDDOWN(ROUND(L131*R132,0)*M131,0)*AC132,"")</f>
        <v/>
      </c>
      <c r="AF132" s="567" t="str">
        <f>IFERROR(ROUNDDOWN(ROUND(L131*(R132-P132),0)*M131,0)*AC132,"")</f>
        <v/>
      </c>
      <c r="AG132" s="568"/>
      <c r="AH132" s="453"/>
      <c r="AI132" s="454"/>
      <c r="AJ132" s="455"/>
      <c r="AK132" s="456"/>
      <c r="AL132" s="457"/>
      <c r="AM132" s="458"/>
      <c r="AN132" s="569" t="str">
        <f t="shared" ref="AN132" si="172">IF(AP131="","",IF(OR(Z131=4,Z132=4,Z133=4),"！加算の要件上は問題ありませんが、算定期間の終わりが令和６年５月になっていません。区分変更の場合は、「基本情報入力シート」で同じ事業所を２行に分けて記入してください。",""))</f>
        <v/>
      </c>
      <c r="AO132" s="570"/>
      <c r="AP132" s="557" t="str">
        <f>IF(K131&lt;&gt;"","P列・R列に色付け","")</f>
        <v/>
      </c>
      <c r="AY132" s="543" t="str">
        <f>G131</f>
        <v/>
      </c>
    </row>
    <row r="133" spans="1:51" ht="32.1" customHeight="1" thickBot="1">
      <c r="A133" s="1227"/>
      <c r="B133" s="1224"/>
      <c r="C133" s="1224"/>
      <c r="D133" s="1224"/>
      <c r="E133" s="1224"/>
      <c r="F133" s="1224"/>
      <c r="G133" s="1236"/>
      <c r="H133" s="1236"/>
      <c r="I133" s="1236"/>
      <c r="J133" s="1236"/>
      <c r="K133" s="1236"/>
      <c r="L133" s="1239"/>
      <c r="M133" s="1294"/>
      <c r="N133" s="571" t="s">
        <v>140</v>
      </c>
      <c r="O133" s="155"/>
      <c r="P133" s="591" t="str">
        <f>IFERROR(VLOOKUP(K131,【参考】数式用!$A$5:$J$27,MATCH(O133,【参考】数式用!$B$4:$J$4,0)+1,0),"")</f>
        <v/>
      </c>
      <c r="Q133" s="153"/>
      <c r="R133" s="572" t="str">
        <f>IFERROR(VLOOKUP(K131,【参考】数式用!$A$5:$J$27,MATCH(Q133,【参考】数式用!$B$4:$J$4,0)+1,0),"")</f>
        <v/>
      </c>
      <c r="S133" s="573" t="s">
        <v>19</v>
      </c>
      <c r="T133" s="574">
        <v>6</v>
      </c>
      <c r="U133" s="575" t="s">
        <v>10</v>
      </c>
      <c r="V133" s="110">
        <v>4</v>
      </c>
      <c r="W133" s="575" t="s">
        <v>45</v>
      </c>
      <c r="X133" s="574">
        <v>6</v>
      </c>
      <c r="Y133" s="575" t="s">
        <v>10</v>
      </c>
      <c r="Z133" s="110">
        <v>5</v>
      </c>
      <c r="AA133" s="575" t="s">
        <v>13</v>
      </c>
      <c r="AB133" s="576" t="s">
        <v>24</v>
      </c>
      <c r="AC133" s="577">
        <f t="shared" si="120"/>
        <v>2</v>
      </c>
      <c r="AD133" s="575" t="s">
        <v>38</v>
      </c>
      <c r="AE133" s="590" t="str">
        <f>IFERROR(ROUNDDOWN(ROUND(L131*R133,0)*M131,0)*AC133,"")</f>
        <v/>
      </c>
      <c r="AF133" s="579" t="str">
        <f>IFERROR(ROUNDDOWN(ROUND(L131*(R133-P133),0)*M131,0)*AC133,"")</f>
        <v/>
      </c>
      <c r="AG133" s="580">
        <f t="shared" si="156"/>
        <v>0</v>
      </c>
      <c r="AH133" s="459"/>
      <c r="AI133" s="460"/>
      <c r="AJ133" s="461"/>
      <c r="AK133" s="462"/>
      <c r="AL133" s="463"/>
      <c r="AM133" s="464"/>
      <c r="AN133" s="581" t="str">
        <f t="shared" ref="AN133" si="173">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82" t="str">
        <f>IF(K131&lt;&gt;"","P列・R列に色付け","")</f>
        <v/>
      </c>
      <c r="AQ133" s="583"/>
      <c r="AR133" s="583"/>
      <c r="AX133" s="584"/>
      <c r="AY133" s="543" t="str">
        <f>G131</f>
        <v/>
      </c>
    </row>
    <row r="134" spans="1:51" ht="32.1" customHeight="1">
      <c r="A134" s="1225">
        <v>41</v>
      </c>
      <c r="B134" s="1222" t="str">
        <f>IF(基本情報入力シート!C94="","",基本情報入力シート!C94)</f>
        <v/>
      </c>
      <c r="C134" s="1222"/>
      <c r="D134" s="1222"/>
      <c r="E134" s="1222"/>
      <c r="F134" s="1222"/>
      <c r="G134" s="1234" t="str">
        <f>IF(基本情報入力シート!M94="","",基本情報入力シート!M94)</f>
        <v/>
      </c>
      <c r="H134" s="1234" t="str">
        <f>IF(基本情報入力シート!R94="","",基本情報入力シート!R94)</f>
        <v/>
      </c>
      <c r="I134" s="1234" t="str">
        <f>IF(基本情報入力シート!W94="","",基本情報入力シート!W94)</f>
        <v/>
      </c>
      <c r="J134" s="1234" t="str">
        <f>IF(基本情報入力シート!X94="","",基本情報入力シート!X94)</f>
        <v/>
      </c>
      <c r="K134" s="1234" t="str">
        <f>IF(基本情報入力シート!Y94="","",基本情報入力シート!Y94)</f>
        <v/>
      </c>
      <c r="L134" s="1237" t="str">
        <f>IF(基本情報入力シート!AB94="","",基本情報入力シート!AB94)</f>
        <v/>
      </c>
      <c r="M134" s="1292" t="str">
        <f>IF(基本情報入力シート!AC94="","",基本情報入力シート!AC94)</f>
        <v/>
      </c>
      <c r="N134" s="547" t="s">
        <v>183</v>
      </c>
      <c r="O134" s="151"/>
      <c r="P134" s="548" t="str">
        <f>IFERROR(VLOOKUP(K134,【参考】数式用!$A$5:$J$27,MATCH(O134,【参考】数式用!$B$4:$J$4,0)+1,0),"")</f>
        <v/>
      </c>
      <c r="Q134" s="151"/>
      <c r="R134" s="548" t="str">
        <f>IFERROR(VLOOKUP(K134,【参考】数式用!$A$5:$J$27,MATCH(Q134,【参考】数式用!$B$4:$J$4,0)+1,0),"")</f>
        <v/>
      </c>
      <c r="S134" s="549" t="s">
        <v>19</v>
      </c>
      <c r="T134" s="550">
        <v>6</v>
      </c>
      <c r="U134" s="202" t="s">
        <v>10</v>
      </c>
      <c r="V134" s="71">
        <v>4</v>
      </c>
      <c r="W134" s="202" t="s">
        <v>45</v>
      </c>
      <c r="X134" s="550">
        <v>6</v>
      </c>
      <c r="Y134" s="202" t="s">
        <v>10</v>
      </c>
      <c r="Z134" s="71">
        <v>5</v>
      </c>
      <c r="AA134" s="202" t="s">
        <v>13</v>
      </c>
      <c r="AB134" s="551" t="s">
        <v>24</v>
      </c>
      <c r="AC134" s="552">
        <f t="shared" si="120"/>
        <v>2</v>
      </c>
      <c r="AD134" s="202" t="s">
        <v>38</v>
      </c>
      <c r="AE134" s="553" t="str">
        <f>IFERROR(ROUNDDOWN(ROUND(L134*R134,0)*M134,0)*AC134,"")</f>
        <v/>
      </c>
      <c r="AF134" s="554" t="str">
        <f>IFERROR(ROUNDDOWN(ROUND(L134*(R134-P134),0)*M134,0)*AC134,"")</f>
        <v/>
      </c>
      <c r="AG134" s="555"/>
      <c r="AH134" s="465"/>
      <c r="AI134" s="473"/>
      <c r="AJ134" s="470"/>
      <c r="AK134" s="471"/>
      <c r="AL134" s="451"/>
      <c r="AM134" s="452"/>
      <c r="AN134" s="556" t="str">
        <f t="shared" ref="AN134" si="174">IF(AP134="","",IF(R134&lt;P134,"！加算の要件上は問題ありませんが、令和６年３月と比較して４・５月に加算率が下がる計画になっています。",""))</f>
        <v/>
      </c>
      <c r="AP134" s="557" t="str">
        <f>IF(K134&lt;&gt;"","P列・R列に色付け","")</f>
        <v/>
      </c>
      <c r="AQ134" s="558" t="str">
        <f>IFERROR(VLOOKUP(K134,【参考】数式用!$AJ$2:$AK$24,2,FALSE),"")</f>
        <v/>
      </c>
      <c r="AR134" s="560" t="str">
        <f>Q134&amp;Q135&amp;Q136</f>
        <v/>
      </c>
      <c r="AS134" s="558" t="str">
        <f t="shared" ref="AS134" si="175">IF(AG136&lt;&gt;0,IF(AH136="○","入力済","未入力"),"")</f>
        <v/>
      </c>
      <c r="AT134" s="559" t="str">
        <f>IF(OR(Q134="処遇加算Ⅰ",Q134="処遇加算Ⅱ"),IF(OR(AI134="○",AI134="令和６年度中に満たす"),"入力済","未入力"),"")</f>
        <v/>
      </c>
      <c r="AU134" s="560" t="str">
        <f>IF(Q134="処遇加算Ⅲ",IF(AJ134="○","入力済","未入力"),"")</f>
        <v/>
      </c>
      <c r="AV134" s="558" t="str">
        <f>IF(Q134="処遇加算Ⅰ",IF(OR(AK134="○",AK134="令和６年度中に満たす"),"入力済","未入力"),"")</f>
        <v/>
      </c>
      <c r="AW134" s="558"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43" t="str">
        <f>IF(Q135="特定加算Ⅰ",IF(AM135="","未入力","入力済"),"")</f>
        <v/>
      </c>
      <c r="AY134" s="543" t="str">
        <f>G134</f>
        <v/>
      </c>
    </row>
    <row r="135" spans="1:51" ht="32.1" customHeight="1">
      <c r="A135" s="1226"/>
      <c r="B135" s="1223"/>
      <c r="C135" s="1223"/>
      <c r="D135" s="1223"/>
      <c r="E135" s="1223"/>
      <c r="F135" s="1223"/>
      <c r="G135" s="1235"/>
      <c r="H135" s="1235"/>
      <c r="I135" s="1235"/>
      <c r="J135" s="1235"/>
      <c r="K135" s="1235"/>
      <c r="L135" s="1238"/>
      <c r="M135" s="1293"/>
      <c r="N135" s="561" t="s">
        <v>170</v>
      </c>
      <c r="O135" s="152"/>
      <c r="P135" s="562" t="str">
        <f>IFERROR(VLOOKUP(K134,【参考】数式用!$A$5:$J$27,MATCH(O135,【参考】数式用!$B$4:$J$4,0)+1,0),"")</f>
        <v/>
      </c>
      <c r="Q135" s="152"/>
      <c r="R135" s="562" t="str">
        <f>IFERROR(VLOOKUP(K134,【参考】数式用!$A$5:$J$27,MATCH(Q135,【参考】数式用!$B$4:$J$4,0)+1,0),"")</f>
        <v/>
      </c>
      <c r="S135" s="173" t="s">
        <v>19</v>
      </c>
      <c r="T135" s="563">
        <v>6</v>
      </c>
      <c r="U135" s="174" t="s">
        <v>10</v>
      </c>
      <c r="V135" s="109">
        <v>4</v>
      </c>
      <c r="W135" s="174" t="s">
        <v>45</v>
      </c>
      <c r="X135" s="563">
        <v>6</v>
      </c>
      <c r="Y135" s="174" t="s">
        <v>10</v>
      </c>
      <c r="Z135" s="109">
        <v>5</v>
      </c>
      <c r="AA135" s="174" t="s">
        <v>13</v>
      </c>
      <c r="AB135" s="564" t="s">
        <v>24</v>
      </c>
      <c r="AC135" s="565">
        <f t="shared" si="120"/>
        <v>2</v>
      </c>
      <c r="AD135" s="174" t="s">
        <v>38</v>
      </c>
      <c r="AE135" s="566" t="str">
        <f>IFERROR(ROUNDDOWN(ROUND(L134*R135,0)*M134,0)*AC135,"")</f>
        <v/>
      </c>
      <c r="AF135" s="567" t="str">
        <f>IFERROR(ROUNDDOWN(ROUND(L134*(R135-P135),0)*M134,0)*AC135,"")</f>
        <v/>
      </c>
      <c r="AG135" s="568"/>
      <c r="AH135" s="453"/>
      <c r="AI135" s="454"/>
      <c r="AJ135" s="455"/>
      <c r="AK135" s="456"/>
      <c r="AL135" s="457"/>
      <c r="AM135" s="458"/>
      <c r="AN135" s="569" t="str">
        <f t="shared" ref="AN135" si="176">IF(AP134="","",IF(OR(Z134=4,Z135=4,Z136=4),"！加算の要件上は問題ありませんが、算定期間の終わりが令和６年５月になっていません。区分変更の場合は、「基本情報入力シート」で同じ事業所を２行に分けて記入してください。",""))</f>
        <v/>
      </c>
      <c r="AO135" s="570"/>
      <c r="AP135" s="557" t="str">
        <f>IF(K134&lt;&gt;"","P列・R列に色付け","")</f>
        <v/>
      </c>
      <c r="AY135" s="543" t="str">
        <f>G134</f>
        <v/>
      </c>
    </row>
    <row r="136" spans="1:51" ht="32.1" customHeight="1" thickBot="1">
      <c r="A136" s="1227"/>
      <c r="B136" s="1224"/>
      <c r="C136" s="1224"/>
      <c r="D136" s="1224"/>
      <c r="E136" s="1224"/>
      <c r="F136" s="1224"/>
      <c r="G136" s="1236"/>
      <c r="H136" s="1236"/>
      <c r="I136" s="1236"/>
      <c r="J136" s="1236"/>
      <c r="K136" s="1236"/>
      <c r="L136" s="1239"/>
      <c r="M136" s="1294"/>
      <c r="N136" s="571" t="s">
        <v>140</v>
      </c>
      <c r="O136" s="155"/>
      <c r="P136" s="591" t="str">
        <f>IFERROR(VLOOKUP(K134,【参考】数式用!$A$5:$J$27,MATCH(O136,【参考】数式用!$B$4:$J$4,0)+1,0),"")</f>
        <v/>
      </c>
      <c r="Q136" s="153"/>
      <c r="R136" s="572" t="str">
        <f>IFERROR(VLOOKUP(K134,【参考】数式用!$A$5:$J$27,MATCH(Q136,【参考】数式用!$B$4:$J$4,0)+1,0),"")</f>
        <v/>
      </c>
      <c r="S136" s="573" t="s">
        <v>19</v>
      </c>
      <c r="T136" s="574">
        <v>6</v>
      </c>
      <c r="U136" s="575" t="s">
        <v>10</v>
      </c>
      <c r="V136" s="110">
        <v>4</v>
      </c>
      <c r="W136" s="575" t="s">
        <v>45</v>
      </c>
      <c r="X136" s="574">
        <v>6</v>
      </c>
      <c r="Y136" s="575" t="s">
        <v>10</v>
      </c>
      <c r="Z136" s="110">
        <v>5</v>
      </c>
      <c r="AA136" s="575" t="s">
        <v>13</v>
      </c>
      <c r="AB136" s="576" t="s">
        <v>24</v>
      </c>
      <c r="AC136" s="577">
        <f t="shared" si="120"/>
        <v>2</v>
      </c>
      <c r="AD136" s="575" t="s">
        <v>38</v>
      </c>
      <c r="AE136" s="590" t="str">
        <f>IFERROR(ROUNDDOWN(ROUND(L134*R136,0)*M134,0)*AC136,"")</f>
        <v/>
      </c>
      <c r="AF136" s="579" t="str">
        <f>IFERROR(ROUNDDOWN(ROUND(L134*(R136-P136),0)*M134,0)*AC136,"")</f>
        <v/>
      </c>
      <c r="AG136" s="580">
        <f t="shared" si="156"/>
        <v>0</v>
      </c>
      <c r="AH136" s="459"/>
      <c r="AI136" s="460"/>
      <c r="AJ136" s="461"/>
      <c r="AK136" s="462"/>
      <c r="AL136" s="463"/>
      <c r="AM136" s="464"/>
      <c r="AN136" s="581" t="str">
        <f t="shared" ref="AN136" si="17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82" t="str">
        <f>IF(K134&lt;&gt;"","P列・R列に色付け","")</f>
        <v/>
      </c>
      <c r="AQ136" s="583"/>
      <c r="AR136" s="583"/>
      <c r="AX136" s="584"/>
      <c r="AY136" s="543" t="str">
        <f>G134</f>
        <v/>
      </c>
    </row>
    <row r="137" spans="1:51" ht="32.1" customHeight="1">
      <c r="A137" s="1225">
        <v>42</v>
      </c>
      <c r="B137" s="1222" t="str">
        <f>IF(基本情報入力シート!C95="","",基本情報入力シート!C95)</f>
        <v/>
      </c>
      <c r="C137" s="1222"/>
      <c r="D137" s="1222"/>
      <c r="E137" s="1222"/>
      <c r="F137" s="1222"/>
      <c r="G137" s="1234" t="str">
        <f>IF(基本情報入力シート!M95="","",基本情報入力シート!M95)</f>
        <v/>
      </c>
      <c r="H137" s="1234" t="str">
        <f>IF(基本情報入力シート!R95="","",基本情報入力シート!R95)</f>
        <v/>
      </c>
      <c r="I137" s="1234" t="str">
        <f>IF(基本情報入力シート!W95="","",基本情報入力シート!W95)</f>
        <v/>
      </c>
      <c r="J137" s="1234" t="str">
        <f>IF(基本情報入力シート!X95="","",基本情報入力シート!X95)</f>
        <v/>
      </c>
      <c r="K137" s="1234" t="str">
        <f>IF(基本情報入力シート!Y95="","",基本情報入力シート!Y95)</f>
        <v/>
      </c>
      <c r="L137" s="1237" t="str">
        <f>IF(基本情報入力シート!AB95="","",基本情報入力シート!AB95)</f>
        <v/>
      </c>
      <c r="M137" s="1292" t="str">
        <f>IF(基本情報入力シート!AC95="","",基本情報入力シート!AC95)</f>
        <v/>
      </c>
      <c r="N137" s="547" t="s">
        <v>183</v>
      </c>
      <c r="O137" s="151"/>
      <c r="P137" s="548" t="str">
        <f>IFERROR(VLOOKUP(K137,【参考】数式用!$A$5:$J$27,MATCH(O137,【参考】数式用!$B$4:$J$4,0)+1,0),"")</f>
        <v/>
      </c>
      <c r="Q137" s="151"/>
      <c r="R137" s="548" t="str">
        <f>IFERROR(VLOOKUP(K137,【参考】数式用!$A$5:$J$27,MATCH(Q137,【参考】数式用!$B$4:$J$4,0)+1,0),"")</f>
        <v/>
      </c>
      <c r="S137" s="549" t="s">
        <v>19</v>
      </c>
      <c r="T137" s="550">
        <v>6</v>
      </c>
      <c r="U137" s="202" t="s">
        <v>10</v>
      </c>
      <c r="V137" s="71">
        <v>4</v>
      </c>
      <c r="W137" s="202" t="s">
        <v>45</v>
      </c>
      <c r="X137" s="550">
        <v>6</v>
      </c>
      <c r="Y137" s="202" t="s">
        <v>10</v>
      </c>
      <c r="Z137" s="71">
        <v>5</v>
      </c>
      <c r="AA137" s="202" t="s">
        <v>13</v>
      </c>
      <c r="AB137" s="551" t="s">
        <v>24</v>
      </c>
      <c r="AC137" s="552">
        <f t="shared" si="120"/>
        <v>2</v>
      </c>
      <c r="AD137" s="202" t="s">
        <v>38</v>
      </c>
      <c r="AE137" s="553" t="str">
        <f>IFERROR(ROUNDDOWN(ROUND(L137*R137,0)*M137,0)*AC137,"")</f>
        <v/>
      </c>
      <c r="AF137" s="554" t="str">
        <f>IFERROR(ROUNDDOWN(ROUND(L137*(R137-P137),0)*M137,0)*AC137,"")</f>
        <v/>
      </c>
      <c r="AG137" s="555"/>
      <c r="AH137" s="465"/>
      <c r="AI137" s="473"/>
      <c r="AJ137" s="470"/>
      <c r="AK137" s="471"/>
      <c r="AL137" s="451"/>
      <c r="AM137" s="452"/>
      <c r="AN137" s="556" t="str">
        <f t="shared" ref="AN137" si="178">IF(AP137="","",IF(R137&lt;P137,"！加算の要件上は問題ありませんが、令和６年３月と比較して４・５月に加算率が下がる計画になっています。",""))</f>
        <v/>
      </c>
      <c r="AP137" s="557" t="str">
        <f>IF(K137&lt;&gt;"","P列・R列に色付け","")</f>
        <v/>
      </c>
      <c r="AQ137" s="558" t="str">
        <f>IFERROR(VLOOKUP(K137,【参考】数式用!$AJ$2:$AK$24,2,FALSE),"")</f>
        <v/>
      </c>
      <c r="AR137" s="560" t="str">
        <f>Q137&amp;Q138&amp;Q139</f>
        <v/>
      </c>
      <c r="AS137" s="558" t="str">
        <f t="shared" ref="AS137" si="179">IF(AG139&lt;&gt;0,IF(AH139="○","入力済","未入力"),"")</f>
        <v/>
      </c>
      <c r="AT137" s="559" t="str">
        <f>IF(OR(Q137="処遇加算Ⅰ",Q137="処遇加算Ⅱ"),IF(OR(AI137="○",AI137="令和６年度中に満たす"),"入力済","未入力"),"")</f>
        <v/>
      </c>
      <c r="AU137" s="560" t="str">
        <f>IF(Q137="処遇加算Ⅲ",IF(AJ137="○","入力済","未入力"),"")</f>
        <v/>
      </c>
      <c r="AV137" s="558" t="str">
        <f>IF(Q137="処遇加算Ⅰ",IF(OR(AK137="○",AK137="令和６年度中に満たす"),"入力済","未入力"),"")</f>
        <v/>
      </c>
      <c r="AW137" s="558"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43" t="str">
        <f>IF(Q138="特定加算Ⅰ",IF(AM138="","未入力","入力済"),"")</f>
        <v/>
      </c>
      <c r="AY137" s="543" t="str">
        <f>G137</f>
        <v/>
      </c>
    </row>
    <row r="138" spans="1:51" ht="32.1" customHeight="1">
      <c r="A138" s="1226"/>
      <c r="B138" s="1223"/>
      <c r="C138" s="1223"/>
      <c r="D138" s="1223"/>
      <c r="E138" s="1223"/>
      <c r="F138" s="1223"/>
      <c r="G138" s="1235"/>
      <c r="H138" s="1235"/>
      <c r="I138" s="1235"/>
      <c r="J138" s="1235"/>
      <c r="K138" s="1235"/>
      <c r="L138" s="1238"/>
      <c r="M138" s="1293"/>
      <c r="N138" s="561" t="s">
        <v>170</v>
      </c>
      <c r="O138" s="152"/>
      <c r="P138" s="562" t="str">
        <f>IFERROR(VLOOKUP(K137,【参考】数式用!$A$5:$J$27,MATCH(O138,【参考】数式用!$B$4:$J$4,0)+1,0),"")</f>
        <v/>
      </c>
      <c r="Q138" s="152"/>
      <c r="R138" s="562" t="str">
        <f>IFERROR(VLOOKUP(K137,【参考】数式用!$A$5:$J$27,MATCH(Q138,【参考】数式用!$B$4:$J$4,0)+1,0),"")</f>
        <v/>
      </c>
      <c r="S138" s="173" t="s">
        <v>19</v>
      </c>
      <c r="T138" s="563">
        <v>6</v>
      </c>
      <c r="U138" s="174" t="s">
        <v>10</v>
      </c>
      <c r="V138" s="109">
        <v>4</v>
      </c>
      <c r="W138" s="174" t="s">
        <v>45</v>
      </c>
      <c r="X138" s="563">
        <v>6</v>
      </c>
      <c r="Y138" s="174" t="s">
        <v>10</v>
      </c>
      <c r="Z138" s="109">
        <v>5</v>
      </c>
      <c r="AA138" s="174" t="s">
        <v>13</v>
      </c>
      <c r="AB138" s="564" t="s">
        <v>24</v>
      </c>
      <c r="AC138" s="565">
        <f t="shared" si="120"/>
        <v>2</v>
      </c>
      <c r="AD138" s="174" t="s">
        <v>38</v>
      </c>
      <c r="AE138" s="566" t="str">
        <f>IFERROR(ROUNDDOWN(ROUND(L137*R138,0)*M137,0)*AC138,"")</f>
        <v/>
      </c>
      <c r="AF138" s="567" t="str">
        <f>IFERROR(ROUNDDOWN(ROUND(L137*(R138-P138),0)*M137,0)*AC138,"")</f>
        <v/>
      </c>
      <c r="AG138" s="568"/>
      <c r="AH138" s="453"/>
      <c r="AI138" s="454"/>
      <c r="AJ138" s="455"/>
      <c r="AK138" s="456"/>
      <c r="AL138" s="457"/>
      <c r="AM138" s="458"/>
      <c r="AN138" s="569" t="str">
        <f t="shared" ref="AN138" si="180">IF(AP137="","",IF(OR(Z137=4,Z138=4,Z139=4),"！加算の要件上は問題ありませんが、算定期間の終わりが令和６年５月になっていません。区分変更の場合は、「基本情報入力シート」で同じ事業所を２行に分けて記入してください。",""))</f>
        <v/>
      </c>
      <c r="AO138" s="570"/>
      <c r="AP138" s="557" t="str">
        <f>IF(K137&lt;&gt;"","P列・R列に色付け","")</f>
        <v/>
      </c>
      <c r="AY138" s="543" t="str">
        <f>G137</f>
        <v/>
      </c>
    </row>
    <row r="139" spans="1:51" ht="32.1" customHeight="1" thickBot="1">
      <c r="A139" s="1227"/>
      <c r="B139" s="1224"/>
      <c r="C139" s="1224"/>
      <c r="D139" s="1224"/>
      <c r="E139" s="1224"/>
      <c r="F139" s="1224"/>
      <c r="G139" s="1236"/>
      <c r="H139" s="1236"/>
      <c r="I139" s="1236"/>
      <c r="J139" s="1236"/>
      <c r="K139" s="1236"/>
      <c r="L139" s="1239"/>
      <c r="M139" s="1294"/>
      <c r="N139" s="571" t="s">
        <v>140</v>
      </c>
      <c r="O139" s="155"/>
      <c r="P139" s="591" t="str">
        <f>IFERROR(VLOOKUP(K137,【参考】数式用!$A$5:$J$27,MATCH(O139,【参考】数式用!$B$4:$J$4,0)+1,0),"")</f>
        <v/>
      </c>
      <c r="Q139" s="153"/>
      <c r="R139" s="572" t="str">
        <f>IFERROR(VLOOKUP(K137,【参考】数式用!$A$5:$J$27,MATCH(Q139,【参考】数式用!$B$4:$J$4,0)+1,0),"")</f>
        <v/>
      </c>
      <c r="S139" s="573" t="s">
        <v>19</v>
      </c>
      <c r="T139" s="574">
        <v>6</v>
      </c>
      <c r="U139" s="575" t="s">
        <v>10</v>
      </c>
      <c r="V139" s="110">
        <v>4</v>
      </c>
      <c r="W139" s="575" t="s">
        <v>45</v>
      </c>
      <c r="X139" s="574">
        <v>6</v>
      </c>
      <c r="Y139" s="575" t="s">
        <v>10</v>
      </c>
      <c r="Z139" s="110">
        <v>5</v>
      </c>
      <c r="AA139" s="575" t="s">
        <v>13</v>
      </c>
      <c r="AB139" s="576" t="s">
        <v>24</v>
      </c>
      <c r="AC139" s="577">
        <f t="shared" si="120"/>
        <v>2</v>
      </c>
      <c r="AD139" s="575" t="s">
        <v>38</v>
      </c>
      <c r="AE139" s="590" t="str">
        <f>IFERROR(ROUNDDOWN(ROUND(L137*R139,0)*M137,0)*AC139,"")</f>
        <v/>
      </c>
      <c r="AF139" s="579" t="str">
        <f>IFERROR(ROUNDDOWN(ROUND(L137*(R139-P139),0)*M137,0)*AC139,"")</f>
        <v/>
      </c>
      <c r="AG139" s="580">
        <f t="shared" si="156"/>
        <v>0</v>
      </c>
      <c r="AH139" s="459"/>
      <c r="AI139" s="460"/>
      <c r="AJ139" s="461"/>
      <c r="AK139" s="462"/>
      <c r="AL139" s="463"/>
      <c r="AM139" s="464"/>
      <c r="AN139" s="581" t="str">
        <f t="shared" ref="AN139" si="181">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82" t="str">
        <f>IF(K137&lt;&gt;"","P列・R列に色付け","")</f>
        <v/>
      </c>
      <c r="AQ139" s="583"/>
      <c r="AR139" s="583"/>
      <c r="AX139" s="584"/>
      <c r="AY139" s="543" t="str">
        <f>G137</f>
        <v/>
      </c>
    </row>
    <row r="140" spans="1:51" ht="32.1" customHeight="1">
      <c r="A140" s="1225">
        <v>43</v>
      </c>
      <c r="B140" s="1222" t="str">
        <f>IF(基本情報入力シート!C96="","",基本情報入力シート!C96)</f>
        <v/>
      </c>
      <c r="C140" s="1222"/>
      <c r="D140" s="1222"/>
      <c r="E140" s="1222"/>
      <c r="F140" s="1222"/>
      <c r="G140" s="1234" t="str">
        <f>IF(基本情報入力シート!M96="","",基本情報入力シート!M96)</f>
        <v/>
      </c>
      <c r="H140" s="1234" t="str">
        <f>IF(基本情報入力シート!R96="","",基本情報入力シート!R96)</f>
        <v/>
      </c>
      <c r="I140" s="1234" t="str">
        <f>IF(基本情報入力シート!W96="","",基本情報入力シート!W96)</f>
        <v/>
      </c>
      <c r="J140" s="1234" t="str">
        <f>IF(基本情報入力シート!X96="","",基本情報入力シート!X96)</f>
        <v/>
      </c>
      <c r="K140" s="1234" t="str">
        <f>IF(基本情報入力シート!Y96="","",基本情報入力シート!Y96)</f>
        <v/>
      </c>
      <c r="L140" s="1237" t="str">
        <f>IF(基本情報入力シート!AB96="","",基本情報入力シート!AB96)</f>
        <v/>
      </c>
      <c r="M140" s="1292" t="str">
        <f>IF(基本情報入力シート!AC96="","",基本情報入力シート!AC96)</f>
        <v/>
      </c>
      <c r="N140" s="547" t="s">
        <v>183</v>
      </c>
      <c r="O140" s="151"/>
      <c r="P140" s="548" t="str">
        <f>IFERROR(VLOOKUP(K140,【参考】数式用!$A$5:$J$27,MATCH(O140,【参考】数式用!$B$4:$J$4,0)+1,0),"")</f>
        <v/>
      </c>
      <c r="Q140" s="151"/>
      <c r="R140" s="548" t="str">
        <f>IFERROR(VLOOKUP(K140,【参考】数式用!$A$5:$J$27,MATCH(Q140,【参考】数式用!$B$4:$J$4,0)+1,0),"")</f>
        <v/>
      </c>
      <c r="S140" s="549" t="s">
        <v>19</v>
      </c>
      <c r="T140" s="550">
        <v>6</v>
      </c>
      <c r="U140" s="202" t="s">
        <v>10</v>
      </c>
      <c r="V140" s="71">
        <v>4</v>
      </c>
      <c r="W140" s="202" t="s">
        <v>45</v>
      </c>
      <c r="X140" s="550">
        <v>6</v>
      </c>
      <c r="Y140" s="202" t="s">
        <v>10</v>
      </c>
      <c r="Z140" s="71">
        <v>5</v>
      </c>
      <c r="AA140" s="202" t="s">
        <v>13</v>
      </c>
      <c r="AB140" s="551" t="s">
        <v>24</v>
      </c>
      <c r="AC140" s="552">
        <f t="shared" si="120"/>
        <v>2</v>
      </c>
      <c r="AD140" s="202" t="s">
        <v>38</v>
      </c>
      <c r="AE140" s="553" t="str">
        <f>IFERROR(ROUNDDOWN(ROUND(L140*R140,0)*M140,0)*AC140,"")</f>
        <v/>
      </c>
      <c r="AF140" s="554" t="str">
        <f>IFERROR(ROUNDDOWN(ROUND(L140*(R140-P140),0)*M140,0)*AC140,"")</f>
        <v/>
      </c>
      <c r="AG140" s="555"/>
      <c r="AH140" s="465"/>
      <c r="AI140" s="473"/>
      <c r="AJ140" s="470"/>
      <c r="AK140" s="471"/>
      <c r="AL140" s="451"/>
      <c r="AM140" s="452"/>
      <c r="AN140" s="556" t="str">
        <f t="shared" ref="AN140" si="182">IF(AP140="","",IF(R140&lt;P140,"！加算の要件上は問題ありませんが、令和６年３月と比較して４・５月に加算率が下がる計画になっています。",""))</f>
        <v/>
      </c>
      <c r="AP140" s="557" t="str">
        <f>IF(K140&lt;&gt;"","P列・R列に色付け","")</f>
        <v/>
      </c>
      <c r="AQ140" s="558" t="str">
        <f>IFERROR(VLOOKUP(K140,【参考】数式用!$AJ$2:$AK$24,2,FALSE),"")</f>
        <v/>
      </c>
      <c r="AR140" s="560" t="str">
        <f>Q140&amp;Q141&amp;Q142</f>
        <v/>
      </c>
      <c r="AS140" s="558" t="str">
        <f t="shared" ref="AS140" si="183">IF(AG142&lt;&gt;0,IF(AH142="○","入力済","未入力"),"")</f>
        <v/>
      </c>
      <c r="AT140" s="559" t="str">
        <f>IF(OR(Q140="処遇加算Ⅰ",Q140="処遇加算Ⅱ"),IF(OR(AI140="○",AI140="令和６年度中に満たす"),"入力済","未入力"),"")</f>
        <v/>
      </c>
      <c r="AU140" s="560" t="str">
        <f>IF(Q140="処遇加算Ⅲ",IF(AJ140="○","入力済","未入力"),"")</f>
        <v/>
      </c>
      <c r="AV140" s="558" t="str">
        <f>IF(Q140="処遇加算Ⅰ",IF(OR(AK140="○",AK140="令和６年度中に満たす"),"入力済","未入力"),"")</f>
        <v/>
      </c>
      <c r="AW140" s="558"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43" t="str">
        <f>IF(Q141="特定加算Ⅰ",IF(AM141="","未入力","入力済"),"")</f>
        <v/>
      </c>
      <c r="AY140" s="543" t="str">
        <f>G140</f>
        <v/>
      </c>
    </row>
    <row r="141" spans="1:51" ht="32.1" customHeight="1">
      <c r="A141" s="1226"/>
      <c r="B141" s="1223"/>
      <c r="C141" s="1223"/>
      <c r="D141" s="1223"/>
      <c r="E141" s="1223"/>
      <c r="F141" s="1223"/>
      <c r="G141" s="1235"/>
      <c r="H141" s="1235"/>
      <c r="I141" s="1235"/>
      <c r="J141" s="1235"/>
      <c r="K141" s="1235"/>
      <c r="L141" s="1238"/>
      <c r="M141" s="1293"/>
      <c r="N141" s="561" t="s">
        <v>170</v>
      </c>
      <c r="O141" s="152"/>
      <c r="P141" s="562" t="str">
        <f>IFERROR(VLOOKUP(K140,【参考】数式用!$A$5:$J$27,MATCH(O141,【参考】数式用!$B$4:$J$4,0)+1,0),"")</f>
        <v/>
      </c>
      <c r="Q141" s="152"/>
      <c r="R141" s="562" t="str">
        <f>IFERROR(VLOOKUP(K140,【参考】数式用!$A$5:$J$27,MATCH(Q141,【参考】数式用!$B$4:$J$4,0)+1,0),"")</f>
        <v/>
      </c>
      <c r="S141" s="173" t="s">
        <v>19</v>
      </c>
      <c r="T141" s="563">
        <v>6</v>
      </c>
      <c r="U141" s="174" t="s">
        <v>10</v>
      </c>
      <c r="V141" s="109">
        <v>4</v>
      </c>
      <c r="W141" s="174" t="s">
        <v>45</v>
      </c>
      <c r="X141" s="563">
        <v>6</v>
      </c>
      <c r="Y141" s="174" t="s">
        <v>10</v>
      </c>
      <c r="Z141" s="109">
        <v>5</v>
      </c>
      <c r="AA141" s="174" t="s">
        <v>13</v>
      </c>
      <c r="AB141" s="564" t="s">
        <v>24</v>
      </c>
      <c r="AC141" s="565">
        <f t="shared" si="120"/>
        <v>2</v>
      </c>
      <c r="AD141" s="174" t="s">
        <v>38</v>
      </c>
      <c r="AE141" s="566" t="str">
        <f>IFERROR(ROUNDDOWN(ROUND(L140*R141,0)*M140,0)*AC141,"")</f>
        <v/>
      </c>
      <c r="AF141" s="567" t="str">
        <f>IFERROR(ROUNDDOWN(ROUND(L140*(R141-P141),0)*M140,0)*AC141,"")</f>
        <v/>
      </c>
      <c r="AG141" s="568"/>
      <c r="AH141" s="453"/>
      <c r="AI141" s="454"/>
      <c r="AJ141" s="455"/>
      <c r="AK141" s="456"/>
      <c r="AL141" s="457"/>
      <c r="AM141" s="458"/>
      <c r="AN141" s="569" t="str">
        <f t="shared" ref="AN141" si="184">IF(AP140="","",IF(OR(Z140=4,Z141=4,Z142=4),"！加算の要件上は問題ありませんが、算定期間の終わりが令和６年５月になっていません。区分変更の場合は、「基本情報入力シート」で同じ事業所を２行に分けて記入してください。",""))</f>
        <v/>
      </c>
      <c r="AO141" s="570"/>
      <c r="AP141" s="557" t="str">
        <f>IF(K140&lt;&gt;"","P列・R列に色付け","")</f>
        <v/>
      </c>
      <c r="AY141" s="543" t="str">
        <f>G140</f>
        <v/>
      </c>
    </row>
    <row r="142" spans="1:51" ht="32.1" customHeight="1" thickBot="1">
      <c r="A142" s="1227"/>
      <c r="B142" s="1224"/>
      <c r="C142" s="1224"/>
      <c r="D142" s="1224"/>
      <c r="E142" s="1224"/>
      <c r="F142" s="1224"/>
      <c r="G142" s="1236"/>
      <c r="H142" s="1236"/>
      <c r="I142" s="1236"/>
      <c r="J142" s="1236"/>
      <c r="K142" s="1236"/>
      <c r="L142" s="1239"/>
      <c r="M142" s="1294"/>
      <c r="N142" s="571" t="s">
        <v>140</v>
      </c>
      <c r="O142" s="155"/>
      <c r="P142" s="591" t="str">
        <f>IFERROR(VLOOKUP(K140,【参考】数式用!$A$5:$J$27,MATCH(O142,【参考】数式用!$B$4:$J$4,0)+1,0),"")</f>
        <v/>
      </c>
      <c r="Q142" s="153"/>
      <c r="R142" s="572" t="str">
        <f>IFERROR(VLOOKUP(K140,【参考】数式用!$A$5:$J$27,MATCH(Q142,【参考】数式用!$B$4:$J$4,0)+1,0),"")</f>
        <v/>
      </c>
      <c r="S142" s="573" t="s">
        <v>19</v>
      </c>
      <c r="T142" s="574">
        <v>6</v>
      </c>
      <c r="U142" s="575" t="s">
        <v>10</v>
      </c>
      <c r="V142" s="110">
        <v>4</v>
      </c>
      <c r="W142" s="575" t="s">
        <v>45</v>
      </c>
      <c r="X142" s="574">
        <v>6</v>
      </c>
      <c r="Y142" s="575" t="s">
        <v>10</v>
      </c>
      <c r="Z142" s="110">
        <v>5</v>
      </c>
      <c r="AA142" s="575" t="s">
        <v>13</v>
      </c>
      <c r="AB142" s="576" t="s">
        <v>24</v>
      </c>
      <c r="AC142" s="577">
        <f t="shared" si="120"/>
        <v>2</v>
      </c>
      <c r="AD142" s="575" t="s">
        <v>38</v>
      </c>
      <c r="AE142" s="590" t="str">
        <f>IFERROR(ROUNDDOWN(ROUND(L140*R142,0)*M140,0)*AC142,"")</f>
        <v/>
      </c>
      <c r="AF142" s="579" t="str">
        <f>IFERROR(ROUNDDOWN(ROUND(L140*(R142-P142),0)*M140,0)*AC142,"")</f>
        <v/>
      </c>
      <c r="AG142" s="580">
        <f t="shared" si="156"/>
        <v>0</v>
      </c>
      <c r="AH142" s="459"/>
      <c r="AI142" s="460"/>
      <c r="AJ142" s="461"/>
      <c r="AK142" s="462"/>
      <c r="AL142" s="463"/>
      <c r="AM142" s="464"/>
      <c r="AN142" s="581" t="str">
        <f t="shared" ref="AN142" si="185">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82" t="str">
        <f>IF(K140&lt;&gt;"","P列・R列に色付け","")</f>
        <v/>
      </c>
      <c r="AQ142" s="583"/>
      <c r="AR142" s="583"/>
      <c r="AX142" s="584"/>
      <c r="AY142" s="543" t="str">
        <f>G140</f>
        <v/>
      </c>
    </row>
    <row r="143" spans="1:51" ht="32.1" customHeight="1">
      <c r="A143" s="1225">
        <v>44</v>
      </c>
      <c r="B143" s="1222" t="str">
        <f>IF(基本情報入力シート!C97="","",基本情報入力シート!C97)</f>
        <v/>
      </c>
      <c r="C143" s="1222"/>
      <c r="D143" s="1222"/>
      <c r="E143" s="1222"/>
      <c r="F143" s="1222"/>
      <c r="G143" s="1234" t="str">
        <f>IF(基本情報入力シート!M97="","",基本情報入力シート!M97)</f>
        <v/>
      </c>
      <c r="H143" s="1234" t="str">
        <f>IF(基本情報入力シート!R97="","",基本情報入力シート!R97)</f>
        <v/>
      </c>
      <c r="I143" s="1234" t="str">
        <f>IF(基本情報入力シート!W97="","",基本情報入力シート!W97)</f>
        <v/>
      </c>
      <c r="J143" s="1234" t="str">
        <f>IF(基本情報入力シート!X97="","",基本情報入力シート!X97)</f>
        <v/>
      </c>
      <c r="K143" s="1234" t="str">
        <f>IF(基本情報入力シート!Y97="","",基本情報入力シート!Y97)</f>
        <v/>
      </c>
      <c r="L143" s="1237" t="str">
        <f>IF(基本情報入力シート!AB97="","",基本情報入力シート!AB97)</f>
        <v/>
      </c>
      <c r="M143" s="1292" t="str">
        <f>IF(基本情報入力シート!AC97="","",基本情報入力シート!AC97)</f>
        <v/>
      </c>
      <c r="N143" s="547" t="s">
        <v>183</v>
      </c>
      <c r="O143" s="151"/>
      <c r="P143" s="548" t="str">
        <f>IFERROR(VLOOKUP(K143,【参考】数式用!$A$5:$J$27,MATCH(O143,【参考】数式用!$B$4:$J$4,0)+1,0),"")</f>
        <v/>
      </c>
      <c r="Q143" s="151"/>
      <c r="R143" s="548" t="str">
        <f>IFERROR(VLOOKUP(K143,【参考】数式用!$A$5:$J$27,MATCH(Q143,【参考】数式用!$B$4:$J$4,0)+1,0),"")</f>
        <v/>
      </c>
      <c r="S143" s="549" t="s">
        <v>19</v>
      </c>
      <c r="T143" s="550">
        <v>6</v>
      </c>
      <c r="U143" s="202" t="s">
        <v>10</v>
      </c>
      <c r="V143" s="71">
        <v>4</v>
      </c>
      <c r="W143" s="202" t="s">
        <v>45</v>
      </c>
      <c r="X143" s="550">
        <v>6</v>
      </c>
      <c r="Y143" s="202" t="s">
        <v>10</v>
      </c>
      <c r="Z143" s="71">
        <v>5</v>
      </c>
      <c r="AA143" s="202" t="s">
        <v>13</v>
      </c>
      <c r="AB143" s="551" t="s">
        <v>24</v>
      </c>
      <c r="AC143" s="552">
        <f t="shared" si="120"/>
        <v>2</v>
      </c>
      <c r="AD143" s="202" t="s">
        <v>38</v>
      </c>
      <c r="AE143" s="553" t="str">
        <f>IFERROR(ROUNDDOWN(ROUND(L143*R143,0)*M143,0)*AC143,"")</f>
        <v/>
      </c>
      <c r="AF143" s="554" t="str">
        <f>IFERROR(ROUNDDOWN(ROUND(L143*(R143-P143),0)*M143,0)*AC143,"")</f>
        <v/>
      </c>
      <c r="AG143" s="555"/>
      <c r="AH143" s="465"/>
      <c r="AI143" s="473"/>
      <c r="AJ143" s="470"/>
      <c r="AK143" s="471"/>
      <c r="AL143" s="451"/>
      <c r="AM143" s="452"/>
      <c r="AN143" s="556" t="str">
        <f t="shared" ref="AN143" si="186">IF(AP143="","",IF(R143&lt;P143,"！加算の要件上は問題ありませんが、令和６年３月と比較して４・５月に加算率が下がる計画になっています。",""))</f>
        <v/>
      </c>
      <c r="AP143" s="557" t="str">
        <f>IF(K143&lt;&gt;"","P列・R列に色付け","")</f>
        <v/>
      </c>
      <c r="AQ143" s="558" t="str">
        <f>IFERROR(VLOOKUP(K143,【参考】数式用!$AJ$2:$AK$24,2,FALSE),"")</f>
        <v/>
      </c>
      <c r="AR143" s="560" t="str">
        <f>Q143&amp;Q144&amp;Q145</f>
        <v/>
      </c>
      <c r="AS143" s="558" t="str">
        <f t="shared" ref="AS143" si="187">IF(AG145&lt;&gt;0,IF(AH145="○","入力済","未入力"),"")</f>
        <v/>
      </c>
      <c r="AT143" s="559" t="str">
        <f>IF(OR(Q143="処遇加算Ⅰ",Q143="処遇加算Ⅱ"),IF(OR(AI143="○",AI143="令和６年度中に満たす"),"入力済","未入力"),"")</f>
        <v/>
      </c>
      <c r="AU143" s="560" t="str">
        <f>IF(Q143="処遇加算Ⅲ",IF(AJ143="○","入力済","未入力"),"")</f>
        <v/>
      </c>
      <c r="AV143" s="558" t="str">
        <f>IF(Q143="処遇加算Ⅰ",IF(OR(AK143="○",AK143="令和６年度中に満たす"),"入力済","未入力"),"")</f>
        <v/>
      </c>
      <c r="AW143" s="558"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43" t="str">
        <f>IF(Q144="特定加算Ⅰ",IF(AM144="","未入力","入力済"),"")</f>
        <v/>
      </c>
      <c r="AY143" s="543" t="str">
        <f>G143</f>
        <v/>
      </c>
    </row>
    <row r="144" spans="1:51" ht="32.1" customHeight="1">
      <c r="A144" s="1226"/>
      <c r="B144" s="1223"/>
      <c r="C144" s="1223"/>
      <c r="D144" s="1223"/>
      <c r="E144" s="1223"/>
      <c r="F144" s="1223"/>
      <c r="G144" s="1235"/>
      <c r="H144" s="1235"/>
      <c r="I144" s="1235"/>
      <c r="J144" s="1235"/>
      <c r="K144" s="1235"/>
      <c r="L144" s="1238"/>
      <c r="M144" s="1293"/>
      <c r="N144" s="561" t="s">
        <v>170</v>
      </c>
      <c r="O144" s="152"/>
      <c r="P144" s="562" t="str">
        <f>IFERROR(VLOOKUP(K143,【参考】数式用!$A$5:$J$27,MATCH(O144,【参考】数式用!$B$4:$J$4,0)+1,0),"")</f>
        <v/>
      </c>
      <c r="Q144" s="152"/>
      <c r="R144" s="562" t="str">
        <f>IFERROR(VLOOKUP(K143,【参考】数式用!$A$5:$J$27,MATCH(Q144,【参考】数式用!$B$4:$J$4,0)+1,0),"")</f>
        <v/>
      </c>
      <c r="S144" s="173" t="s">
        <v>19</v>
      </c>
      <c r="T144" s="563">
        <v>6</v>
      </c>
      <c r="U144" s="174" t="s">
        <v>10</v>
      </c>
      <c r="V144" s="109">
        <v>4</v>
      </c>
      <c r="W144" s="174" t="s">
        <v>45</v>
      </c>
      <c r="X144" s="563">
        <v>6</v>
      </c>
      <c r="Y144" s="174" t="s">
        <v>10</v>
      </c>
      <c r="Z144" s="109">
        <v>5</v>
      </c>
      <c r="AA144" s="174" t="s">
        <v>13</v>
      </c>
      <c r="AB144" s="564" t="s">
        <v>24</v>
      </c>
      <c r="AC144" s="565">
        <f t="shared" si="120"/>
        <v>2</v>
      </c>
      <c r="AD144" s="174" t="s">
        <v>38</v>
      </c>
      <c r="AE144" s="566" t="str">
        <f>IFERROR(ROUNDDOWN(ROUND(L143*R144,0)*M143,0)*AC144,"")</f>
        <v/>
      </c>
      <c r="AF144" s="567" t="str">
        <f>IFERROR(ROUNDDOWN(ROUND(L143*(R144-P144),0)*M143,0)*AC144,"")</f>
        <v/>
      </c>
      <c r="AG144" s="568"/>
      <c r="AH144" s="453"/>
      <c r="AI144" s="454"/>
      <c r="AJ144" s="455"/>
      <c r="AK144" s="456"/>
      <c r="AL144" s="457"/>
      <c r="AM144" s="458"/>
      <c r="AN144" s="569" t="str">
        <f t="shared" ref="AN144" si="188">IF(AP143="","",IF(OR(Z143=4,Z144=4,Z145=4),"！加算の要件上は問題ありませんが、算定期間の終わりが令和６年５月になっていません。区分変更の場合は、「基本情報入力シート」で同じ事業所を２行に分けて記入してください。",""))</f>
        <v/>
      </c>
      <c r="AO144" s="570"/>
      <c r="AP144" s="557" t="str">
        <f>IF(K143&lt;&gt;"","P列・R列に色付け","")</f>
        <v/>
      </c>
      <c r="AY144" s="543" t="str">
        <f>G143</f>
        <v/>
      </c>
    </row>
    <row r="145" spans="1:51" ht="32.1" customHeight="1" thickBot="1">
      <c r="A145" s="1227"/>
      <c r="B145" s="1224"/>
      <c r="C145" s="1224"/>
      <c r="D145" s="1224"/>
      <c r="E145" s="1224"/>
      <c r="F145" s="1224"/>
      <c r="G145" s="1236"/>
      <c r="H145" s="1236"/>
      <c r="I145" s="1236"/>
      <c r="J145" s="1236"/>
      <c r="K145" s="1236"/>
      <c r="L145" s="1239"/>
      <c r="M145" s="1294"/>
      <c r="N145" s="571" t="s">
        <v>140</v>
      </c>
      <c r="O145" s="155"/>
      <c r="P145" s="591" t="str">
        <f>IFERROR(VLOOKUP(K143,【参考】数式用!$A$5:$J$27,MATCH(O145,【参考】数式用!$B$4:$J$4,0)+1,0),"")</f>
        <v/>
      </c>
      <c r="Q145" s="153"/>
      <c r="R145" s="572" t="str">
        <f>IFERROR(VLOOKUP(K143,【参考】数式用!$A$5:$J$27,MATCH(Q145,【参考】数式用!$B$4:$J$4,0)+1,0),"")</f>
        <v/>
      </c>
      <c r="S145" s="573" t="s">
        <v>19</v>
      </c>
      <c r="T145" s="574">
        <v>6</v>
      </c>
      <c r="U145" s="575" t="s">
        <v>10</v>
      </c>
      <c r="V145" s="110">
        <v>4</v>
      </c>
      <c r="W145" s="575" t="s">
        <v>45</v>
      </c>
      <c r="X145" s="574">
        <v>6</v>
      </c>
      <c r="Y145" s="575" t="s">
        <v>10</v>
      </c>
      <c r="Z145" s="110">
        <v>5</v>
      </c>
      <c r="AA145" s="575" t="s">
        <v>13</v>
      </c>
      <c r="AB145" s="576" t="s">
        <v>24</v>
      </c>
      <c r="AC145" s="577">
        <f t="shared" si="120"/>
        <v>2</v>
      </c>
      <c r="AD145" s="575" t="s">
        <v>38</v>
      </c>
      <c r="AE145" s="590" t="str">
        <f>IFERROR(ROUNDDOWN(ROUND(L143*R145,0)*M143,0)*AC145,"")</f>
        <v/>
      </c>
      <c r="AF145" s="579" t="str">
        <f>IFERROR(ROUNDDOWN(ROUND(L143*(R145-P145),0)*M143,0)*AC145,"")</f>
        <v/>
      </c>
      <c r="AG145" s="580">
        <f t="shared" si="156"/>
        <v>0</v>
      </c>
      <c r="AH145" s="459"/>
      <c r="AI145" s="460"/>
      <c r="AJ145" s="461"/>
      <c r="AK145" s="462"/>
      <c r="AL145" s="463"/>
      <c r="AM145" s="464"/>
      <c r="AN145" s="581" t="str">
        <f t="shared" ref="AN145" si="189">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82" t="str">
        <f>IF(K143&lt;&gt;"","P列・R列に色付け","")</f>
        <v/>
      </c>
      <c r="AQ145" s="583"/>
      <c r="AR145" s="583"/>
      <c r="AX145" s="584"/>
      <c r="AY145" s="543" t="str">
        <f>G143</f>
        <v/>
      </c>
    </row>
    <row r="146" spans="1:51" ht="32.1" customHeight="1">
      <c r="A146" s="1225">
        <v>45</v>
      </c>
      <c r="B146" s="1222" t="str">
        <f>IF(基本情報入力シート!C98="","",基本情報入力シート!C98)</f>
        <v/>
      </c>
      <c r="C146" s="1222"/>
      <c r="D146" s="1222"/>
      <c r="E146" s="1222"/>
      <c r="F146" s="1222"/>
      <c r="G146" s="1234" t="str">
        <f>IF(基本情報入力シート!M98="","",基本情報入力シート!M98)</f>
        <v/>
      </c>
      <c r="H146" s="1234" t="str">
        <f>IF(基本情報入力シート!R98="","",基本情報入力シート!R98)</f>
        <v/>
      </c>
      <c r="I146" s="1234" t="str">
        <f>IF(基本情報入力シート!W98="","",基本情報入力シート!W98)</f>
        <v/>
      </c>
      <c r="J146" s="1234" t="str">
        <f>IF(基本情報入力シート!X98="","",基本情報入力シート!X98)</f>
        <v/>
      </c>
      <c r="K146" s="1234" t="str">
        <f>IF(基本情報入力シート!Y98="","",基本情報入力シート!Y98)</f>
        <v/>
      </c>
      <c r="L146" s="1237" t="str">
        <f>IF(基本情報入力シート!AB98="","",基本情報入力シート!AB98)</f>
        <v/>
      </c>
      <c r="M146" s="1292" t="str">
        <f>IF(基本情報入力シート!AC98="","",基本情報入力シート!AC98)</f>
        <v/>
      </c>
      <c r="N146" s="547" t="s">
        <v>183</v>
      </c>
      <c r="O146" s="151"/>
      <c r="P146" s="548" t="str">
        <f>IFERROR(VLOOKUP(K146,【参考】数式用!$A$5:$J$27,MATCH(O146,【参考】数式用!$B$4:$J$4,0)+1,0),"")</f>
        <v/>
      </c>
      <c r="Q146" s="151"/>
      <c r="R146" s="548" t="str">
        <f>IFERROR(VLOOKUP(K146,【参考】数式用!$A$5:$J$27,MATCH(Q146,【参考】数式用!$B$4:$J$4,0)+1,0),"")</f>
        <v/>
      </c>
      <c r="S146" s="549" t="s">
        <v>19</v>
      </c>
      <c r="T146" s="550">
        <v>6</v>
      </c>
      <c r="U146" s="202" t="s">
        <v>10</v>
      </c>
      <c r="V146" s="71">
        <v>4</v>
      </c>
      <c r="W146" s="202" t="s">
        <v>45</v>
      </c>
      <c r="X146" s="550">
        <v>6</v>
      </c>
      <c r="Y146" s="202" t="s">
        <v>10</v>
      </c>
      <c r="Z146" s="71">
        <v>5</v>
      </c>
      <c r="AA146" s="202" t="s">
        <v>13</v>
      </c>
      <c r="AB146" s="551" t="s">
        <v>24</v>
      </c>
      <c r="AC146" s="552">
        <f t="shared" si="120"/>
        <v>2</v>
      </c>
      <c r="AD146" s="202" t="s">
        <v>38</v>
      </c>
      <c r="AE146" s="553" t="str">
        <f>IFERROR(ROUNDDOWN(ROUND(L146*R146,0)*M146,0)*AC146,"")</f>
        <v/>
      </c>
      <c r="AF146" s="554" t="str">
        <f>IFERROR(ROUNDDOWN(ROUND(L146*(R146-P146),0)*M146,0)*AC146,"")</f>
        <v/>
      </c>
      <c r="AG146" s="555"/>
      <c r="AH146" s="465"/>
      <c r="AI146" s="473"/>
      <c r="AJ146" s="470"/>
      <c r="AK146" s="471"/>
      <c r="AL146" s="451"/>
      <c r="AM146" s="452"/>
      <c r="AN146" s="556" t="str">
        <f t="shared" ref="AN146" si="190">IF(AP146="","",IF(R146&lt;P146,"！加算の要件上は問題ありませんが、令和６年３月と比較して４・５月に加算率が下がる計画になっています。",""))</f>
        <v/>
      </c>
      <c r="AP146" s="557" t="str">
        <f>IF(K146&lt;&gt;"","P列・R列に色付け","")</f>
        <v/>
      </c>
      <c r="AQ146" s="558" t="str">
        <f>IFERROR(VLOOKUP(K146,【参考】数式用!$AJ$2:$AK$24,2,FALSE),"")</f>
        <v/>
      </c>
      <c r="AR146" s="560" t="str">
        <f>Q146&amp;Q147&amp;Q148</f>
        <v/>
      </c>
      <c r="AS146" s="558" t="str">
        <f t="shared" ref="AS146" si="191">IF(AG148&lt;&gt;0,IF(AH148="○","入力済","未入力"),"")</f>
        <v/>
      </c>
      <c r="AT146" s="559" t="str">
        <f>IF(OR(Q146="処遇加算Ⅰ",Q146="処遇加算Ⅱ"),IF(OR(AI146="○",AI146="令和６年度中に満たす"),"入力済","未入力"),"")</f>
        <v/>
      </c>
      <c r="AU146" s="560" t="str">
        <f>IF(Q146="処遇加算Ⅲ",IF(AJ146="○","入力済","未入力"),"")</f>
        <v/>
      </c>
      <c r="AV146" s="558" t="str">
        <f>IF(Q146="処遇加算Ⅰ",IF(OR(AK146="○",AK146="令和６年度中に満たす"),"入力済","未入力"),"")</f>
        <v/>
      </c>
      <c r="AW146" s="558"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43" t="str">
        <f>IF(Q147="特定加算Ⅰ",IF(AM147="","未入力","入力済"),"")</f>
        <v/>
      </c>
      <c r="AY146" s="543" t="str">
        <f>G146</f>
        <v/>
      </c>
    </row>
    <row r="147" spans="1:51" ht="32.1" customHeight="1">
      <c r="A147" s="1226"/>
      <c r="B147" s="1223"/>
      <c r="C147" s="1223"/>
      <c r="D147" s="1223"/>
      <c r="E147" s="1223"/>
      <c r="F147" s="1223"/>
      <c r="G147" s="1235"/>
      <c r="H147" s="1235"/>
      <c r="I147" s="1235"/>
      <c r="J147" s="1235"/>
      <c r="K147" s="1235"/>
      <c r="L147" s="1238"/>
      <c r="M147" s="1293"/>
      <c r="N147" s="561" t="s">
        <v>170</v>
      </c>
      <c r="O147" s="152"/>
      <c r="P147" s="562" t="str">
        <f>IFERROR(VLOOKUP(K146,【参考】数式用!$A$5:$J$27,MATCH(O147,【参考】数式用!$B$4:$J$4,0)+1,0),"")</f>
        <v/>
      </c>
      <c r="Q147" s="152"/>
      <c r="R147" s="562" t="str">
        <f>IFERROR(VLOOKUP(K146,【参考】数式用!$A$5:$J$27,MATCH(Q147,【参考】数式用!$B$4:$J$4,0)+1,0),"")</f>
        <v/>
      </c>
      <c r="S147" s="173" t="s">
        <v>19</v>
      </c>
      <c r="T147" s="563">
        <v>6</v>
      </c>
      <c r="U147" s="174" t="s">
        <v>10</v>
      </c>
      <c r="V147" s="109">
        <v>4</v>
      </c>
      <c r="W147" s="174" t="s">
        <v>45</v>
      </c>
      <c r="X147" s="563">
        <v>6</v>
      </c>
      <c r="Y147" s="174" t="s">
        <v>10</v>
      </c>
      <c r="Z147" s="109">
        <v>5</v>
      </c>
      <c r="AA147" s="174" t="s">
        <v>13</v>
      </c>
      <c r="AB147" s="564" t="s">
        <v>24</v>
      </c>
      <c r="AC147" s="565">
        <f t="shared" si="120"/>
        <v>2</v>
      </c>
      <c r="AD147" s="174" t="s">
        <v>38</v>
      </c>
      <c r="AE147" s="566" t="str">
        <f>IFERROR(ROUNDDOWN(ROUND(L146*R147,0)*M146,0)*AC147,"")</f>
        <v/>
      </c>
      <c r="AF147" s="567" t="str">
        <f>IFERROR(ROUNDDOWN(ROUND(L146*(R147-P147),0)*M146,0)*AC147,"")</f>
        <v/>
      </c>
      <c r="AG147" s="568"/>
      <c r="AH147" s="453"/>
      <c r="AI147" s="454"/>
      <c r="AJ147" s="455"/>
      <c r="AK147" s="456"/>
      <c r="AL147" s="457"/>
      <c r="AM147" s="458"/>
      <c r="AN147" s="569" t="str">
        <f t="shared" ref="AN147" si="192">IF(AP146="","",IF(OR(Z146=4,Z147=4,Z148=4),"！加算の要件上は問題ありませんが、算定期間の終わりが令和６年５月になっていません。区分変更の場合は、「基本情報入力シート」で同じ事業所を２行に分けて記入してください。",""))</f>
        <v/>
      </c>
      <c r="AO147" s="570"/>
      <c r="AP147" s="557" t="str">
        <f>IF(K146&lt;&gt;"","P列・R列に色付け","")</f>
        <v/>
      </c>
      <c r="AY147" s="543" t="str">
        <f>G146</f>
        <v/>
      </c>
    </row>
    <row r="148" spans="1:51" ht="32.1" customHeight="1" thickBot="1">
      <c r="A148" s="1227"/>
      <c r="B148" s="1224"/>
      <c r="C148" s="1224"/>
      <c r="D148" s="1224"/>
      <c r="E148" s="1224"/>
      <c r="F148" s="1224"/>
      <c r="G148" s="1236"/>
      <c r="H148" s="1236"/>
      <c r="I148" s="1236"/>
      <c r="J148" s="1236"/>
      <c r="K148" s="1236"/>
      <c r="L148" s="1239"/>
      <c r="M148" s="1294"/>
      <c r="N148" s="571" t="s">
        <v>140</v>
      </c>
      <c r="O148" s="155"/>
      <c r="P148" s="591" t="str">
        <f>IFERROR(VLOOKUP(K146,【参考】数式用!$A$5:$J$27,MATCH(O148,【参考】数式用!$B$4:$J$4,0)+1,0),"")</f>
        <v/>
      </c>
      <c r="Q148" s="153"/>
      <c r="R148" s="572" t="str">
        <f>IFERROR(VLOOKUP(K146,【参考】数式用!$A$5:$J$27,MATCH(Q148,【参考】数式用!$B$4:$J$4,0)+1,0),"")</f>
        <v/>
      </c>
      <c r="S148" s="573" t="s">
        <v>19</v>
      </c>
      <c r="T148" s="574">
        <v>6</v>
      </c>
      <c r="U148" s="575" t="s">
        <v>10</v>
      </c>
      <c r="V148" s="110">
        <v>4</v>
      </c>
      <c r="W148" s="575" t="s">
        <v>45</v>
      </c>
      <c r="X148" s="574">
        <v>6</v>
      </c>
      <c r="Y148" s="575" t="s">
        <v>10</v>
      </c>
      <c r="Z148" s="110">
        <v>5</v>
      </c>
      <c r="AA148" s="575" t="s">
        <v>13</v>
      </c>
      <c r="AB148" s="576" t="s">
        <v>24</v>
      </c>
      <c r="AC148" s="577">
        <f t="shared" si="120"/>
        <v>2</v>
      </c>
      <c r="AD148" s="575" t="s">
        <v>38</v>
      </c>
      <c r="AE148" s="590" t="str">
        <f>IFERROR(ROUNDDOWN(ROUND(L146*R148,0)*M146,0)*AC148,"")</f>
        <v/>
      </c>
      <c r="AF148" s="579" t="str">
        <f>IFERROR(ROUNDDOWN(ROUND(L146*(R148-P148),0)*M146,0)*AC148,"")</f>
        <v/>
      </c>
      <c r="AG148" s="580">
        <f t="shared" si="156"/>
        <v>0</v>
      </c>
      <c r="AH148" s="459"/>
      <c r="AI148" s="460"/>
      <c r="AJ148" s="461"/>
      <c r="AK148" s="462"/>
      <c r="AL148" s="463"/>
      <c r="AM148" s="464"/>
      <c r="AN148" s="581" t="str">
        <f t="shared" ref="AN148" si="193">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82" t="str">
        <f>IF(K146&lt;&gt;"","P列・R列に色付け","")</f>
        <v/>
      </c>
      <c r="AQ148" s="583"/>
      <c r="AR148" s="583"/>
      <c r="AX148" s="584"/>
      <c r="AY148" s="543" t="str">
        <f>G146</f>
        <v/>
      </c>
    </row>
    <row r="149" spans="1:51" ht="32.1" customHeight="1">
      <c r="A149" s="1225">
        <v>46</v>
      </c>
      <c r="B149" s="1222" t="str">
        <f>IF(基本情報入力シート!C99="","",基本情報入力シート!C99)</f>
        <v/>
      </c>
      <c r="C149" s="1222"/>
      <c r="D149" s="1222"/>
      <c r="E149" s="1222"/>
      <c r="F149" s="1222"/>
      <c r="G149" s="1234" t="str">
        <f>IF(基本情報入力シート!M99="","",基本情報入力シート!M99)</f>
        <v/>
      </c>
      <c r="H149" s="1234" t="str">
        <f>IF(基本情報入力シート!R99="","",基本情報入力シート!R99)</f>
        <v/>
      </c>
      <c r="I149" s="1234" t="str">
        <f>IF(基本情報入力シート!W99="","",基本情報入力シート!W99)</f>
        <v/>
      </c>
      <c r="J149" s="1234" t="str">
        <f>IF(基本情報入力シート!X99="","",基本情報入力シート!X99)</f>
        <v/>
      </c>
      <c r="K149" s="1234" t="str">
        <f>IF(基本情報入力シート!Y99="","",基本情報入力シート!Y99)</f>
        <v/>
      </c>
      <c r="L149" s="1237" t="str">
        <f>IF(基本情報入力シート!AB99="","",基本情報入力シート!AB99)</f>
        <v/>
      </c>
      <c r="M149" s="1292" t="str">
        <f>IF(基本情報入力シート!AC99="","",基本情報入力シート!AC99)</f>
        <v/>
      </c>
      <c r="N149" s="547" t="s">
        <v>183</v>
      </c>
      <c r="O149" s="151"/>
      <c r="P149" s="548" t="str">
        <f>IFERROR(VLOOKUP(K149,【参考】数式用!$A$5:$J$27,MATCH(O149,【参考】数式用!$B$4:$J$4,0)+1,0),"")</f>
        <v/>
      </c>
      <c r="Q149" s="151"/>
      <c r="R149" s="548" t="str">
        <f>IFERROR(VLOOKUP(K149,【参考】数式用!$A$5:$J$27,MATCH(Q149,【参考】数式用!$B$4:$J$4,0)+1,0),"")</f>
        <v/>
      </c>
      <c r="S149" s="549" t="s">
        <v>19</v>
      </c>
      <c r="T149" s="550">
        <v>6</v>
      </c>
      <c r="U149" s="202" t="s">
        <v>10</v>
      </c>
      <c r="V149" s="71">
        <v>4</v>
      </c>
      <c r="W149" s="202" t="s">
        <v>45</v>
      </c>
      <c r="X149" s="550">
        <v>6</v>
      </c>
      <c r="Y149" s="202" t="s">
        <v>10</v>
      </c>
      <c r="Z149" s="71">
        <v>5</v>
      </c>
      <c r="AA149" s="202" t="s">
        <v>13</v>
      </c>
      <c r="AB149" s="551" t="s">
        <v>24</v>
      </c>
      <c r="AC149" s="552">
        <f t="shared" si="120"/>
        <v>2</v>
      </c>
      <c r="AD149" s="202" t="s">
        <v>38</v>
      </c>
      <c r="AE149" s="553" t="str">
        <f>IFERROR(ROUNDDOWN(ROUND(L149*R149,0)*M149,0)*AC149,"")</f>
        <v/>
      </c>
      <c r="AF149" s="554" t="str">
        <f>IFERROR(ROUNDDOWN(ROUND(L149*(R149-P149),0)*M149,0)*AC149,"")</f>
        <v/>
      </c>
      <c r="AG149" s="555"/>
      <c r="AH149" s="465"/>
      <c r="AI149" s="473"/>
      <c r="AJ149" s="470"/>
      <c r="AK149" s="471"/>
      <c r="AL149" s="451"/>
      <c r="AM149" s="452"/>
      <c r="AN149" s="556" t="str">
        <f t="shared" ref="AN149" si="194">IF(AP149="","",IF(R149&lt;P149,"！加算の要件上は問題ありませんが、令和６年３月と比較して４・５月に加算率が下がる計画になっています。",""))</f>
        <v/>
      </c>
      <c r="AP149" s="557" t="str">
        <f>IF(K149&lt;&gt;"","P列・R列に色付け","")</f>
        <v/>
      </c>
      <c r="AQ149" s="558" t="str">
        <f>IFERROR(VLOOKUP(K149,【参考】数式用!$AJ$2:$AK$24,2,FALSE),"")</f>
        <v/>
      </c>
      <c r="AR149" s="560" t="str">
        <f>Q149&amp;Q150&amp;Q151</f>
        <v/>
      </c>
      <c r="AS149" s="558" t="str">
        <f t="shared" ref="AS149" si="195">IF(AG151&lt;&gt;0,IF(AH151="○","入力済","未入力"),"")</f>
        <v/>
      </c>
      <c r="AT149" s="559" t="str">
        <f>IF(OR(Q149="処遇加算Ⅰ",Q149="処遇加算Ⅱ"),IF(OR(AI149="○",AI149="令和６年度中に満たす"),"入力済","未入力"),"")</f>
        <v/>
      </c>
      <c r="AU149" s="560" t="str">
        <f>IF(Q149="処遇加算Ⅲ",IF(AJ149="○","入力済","未入力"),"")</f>
        <v/>
      </c>
      <c r="AV149" s="558" t="str">
        <f>IF(Q149="処遇加算Ⅰ",IF(OR(AK149="○",AK149="令和６年度中に満たす"),"入力済","未入力"),"")</f>
        <v/>
      </c>
      <c r="AW149" s="558"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43" t="str">
        <f>IF(Q150="特定加算Ⅰ",IF(AM150="","未入力","入力済"),"")</f>
        <v/>
      </c>
      <c r="AY149" s="543" t="str">
        <f>G149</f>
        <v/>
      </c>
    </row>
    <row r="150" spans="1:51" ht="32.1" customHeight="1">
      <c r="A150" s="1226"/>
      <c r="B150" s="1223"/>
      <c r="C150" s="1223"/>
      <c r="D150" s="1223"/>
      <c r="E150" s="1223"/>
      <c r="F150" s="1223"/>
      <c r="G150" s="1235"/>
      <c r="H150" s="1235"/>
      <c r="I150" s="1235"/>
      <c r="J150" s="1235"/>
      <c r="K150" s="1235"/>
      <c r="L150" s="1238"/>
      <c r="M150" s="1293"/>
      <c r="N150" s="561" t="s">
        <v>170</v>
      </c>
      <c r="O150" s="152"/>
      <c r="P150" s="562" t="str">
        <f>IFERROR(VLOOKUP(K149,【参考】数式用!$A$5:$J$27,MATCH(O150,【参考】数式用!$B$4:$J$4,0)+1,0),"")</f>
        <v/>
      </c>
      <c r="Q150" s="152"/>
      <c r="R150" s="562" t="str">
        <f>IFERROR(VLOOKUP(K149,【参考】数式用!$A$5:$J$27,MATCH(Q150,【参考】数式用!$B$4:$J$4,0)+1,0),"")</f>
        <v/>
      </c>
      <c r="S150" s="173" t="s">
        <v>19</v>
      </c>
      <c r="T150" s="563">
        <v>6</v>
      </c>
      <c r="U150" s="174" t="s">
        <v>10</v>
      </c>
      <c r="V150" s="109">
        <v>4</v>
      </c>
      <c r="W150" s="174" t="s">
        <v>45</v>
      </c>
      <c r="X150" s="563">
        <v>6</v>
      </c>
      <c r="Y150" s="174" t="s">
        <v>10</v>
      </c>
      <c r="Z150" s="109">
        <v>5</v>
      </c>
      <c r="AA150" s="174" t="s">
        <v>13</v>
      </c>
      <c r="AB150" s="564" t="s">
        <v>24</v>
      </c>
      <c r="AC150" s="565">
        <f t="shared" si="120"/>
        <v>2</v>
      </c>
      <c r="AD150" s="174" t="s">
        <v>38</v>
      </c>
      <c r="AE150" s="566" t="str">
        <f>IFERROR(ROUNDDOWN(ROUND(L149*R150,0)*M149,0)*AC150,"")</f>
        <v/>
      </c>
      <c r="AF150" s="567" t="str">
        <f>IFERROR(ROUNDDOWN(ROUND(L149*(R150-P150),0)*M149,0)*AC150,"")</f>
        <v/>
      </c>
      <c r="AG150" s="568"/>
      <c r="AH150" s="453"/>
      <c r="AI150" s="454"/>
      <c r="AJ150" s="455"/>
      <c r="AK150" s="456"/>
      <c r="AL150" s="457"/>
      <c r="AM150" s="458"/>
      <c r="AN150" s="569" t="str">
        <f t="shared" ref="AN150" si="196">IF(AP149="","",IF(OR(Z149=4,Z150=4,Z151=4),"！加算の要件上は問題ありませんが、算定期間の終わりが令和６年５月になっていません。区分変更の場合は、「基本情報入力シート」で同じ事業所を２行に分けて記入してください。",""))</f>
        <v/>
      </c>
      <c r="AO150" s="570"/>
      <c r="AP150" s="557" t="str">
        <f>IF(K149&lt;&gt;"","P列・R列に色付け","")</f>
        <v/>
      </c>
      <c r="AY150" s="543" t="str">
        <f>G149</f>
        <v/>
      </c>
    </row>
    <row r="151" spans="1:51" ht="32.1" customHeight="1" thickBot="1">
      <c r="A151" s="1227"/>
      <c r="B151" s="1224"/>
      <c r="C151" s="1224"/>
      <c r="D151" s="1224"/>
      <c r="E151" s="1224"/>
      <c r="F151" s="1224"/>
      <c r="G151" s="1236"/>
      <c r="H151" s="1236"/>
      <c r="I151" s="1236"/>
      <c r="J151" s="1236"/>
      <c r="K151" s="1236"/>
      <c r="L151" s="1239"/>
      <c r="M151" s="1294"/>
      <c r="N151" s="571" t="s">
        <v>140</v>
      </c>
      <c r="O151" s="155"/>
      <c r="P151" s="591" t="str">
        <f>IFERROR(VLOOKUP(K149,【参考】数式用!$A$5:$J$27,MATCH(O151,【参考】数式用!$B$4:$J$4,0)+1,0),"")</f>
        <v/>
      </c>
      <c r="Q151" s="153"/>
      <c r="R151" s="572" t="str">
        <f>IFERROR(VLOOKUP(K149,【参考】数式用!$A$5:$J$27,MATCH(Q151,【参考】数式用!$B$4:$J$4,0)+1,0),"")</f>
        <v/>
      </c>
      <c r="S151" s="573" t="s">
        <v>19</v>
      </c>
      <c r="T151" s="574">
        <v>6</v>
      </c>
      <c r="U151" s="575" t="s">
        <v>10</v>
      </c>
      <c r="V151" s="110">
        <v>4</v>
      </c>
      <c r="W151" s="575" t="s">
        <v>45</v>
      </c>
      <c r="X151" s="574">
        <v>6</v>
      </c>
      <c r="Y151" s="575" t="s">
        <v>10</v>
      </c>
      <c r="Z151" s="110">
        <v>5</v>
      </c>
      <c r="AA151" s="575" t="s">
        <v>13</v>
      </c>
      <c r="AB151" s="576" t="s">
        <v>24</v>
      </c>
      <c r="AC151" s="577">
        <f t="shared" si="120"/>
        <v>2</v>
      </c>
      <c r="AD151" s="575" t="s">
        <v>38</v>
      </c>
      <c r="AE151" s="590" t="str">
        <f>IFERROR(ROUNDDOWN(ROUND(L149*R151,0)*M149,0)*AC151,"")</f>
        <v/>
      </c>
      <c r="AF151" s="579" t="str">
        <f>IFERROR(ROUNDDOWN(ROUND(L149*(R151-P151),0)*M149,0)*AC151,"")</f>
        <v/>
      </c>
      <c r="AG151" s="580">
        <f t="shared" si="156"/>
        <v>0</v>
      </c>
      <c r="AH151" s="459"/>
      <c r="AI151" s="460"/>
      <c r="AJ151" s="461"/>
      <c r="AK151" s="462"/>
      <c r="AL151" s="463"/>
      <c r="AM151" s="464"/>
      <c r="AN151" s="581" t="str">
        <f t="shared" ref="AN151" si="197">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82" t="str">
        <f>IF(K149&lt;&gt;"","P列・R列に色付け","")</f>
        <v/>
      </c>
      <c r="AQ151" s="583"/>
      <c r="AR151" s="583"/>
      <c r="AX151" s="584"/>
      <c r="AY151" s="543" t="str">
        <f>G149</f>
        <v/>
      </c>
    </row>
    <row r="152" spans="1:51" ht="32.1" customHeight="1">
      <c r="A152" s="1225">
        <v>47</v>
      </c>
      <c r="B152" s="1222" t="str">
        <f>IF(基本情報入力シート!C100="","",基本情報入力シート!C100)</f>
        <v/>
      </c>
      <c r="C152" s="1222"/>
      <c r="D152" s="1222"/>
      <c r="E152" s="1222"/>
      <c r="F152" s="1222"/>
      <c r="G152" s="1234" t="str">
        <f>IF(基本情報入力シート!M100="","",基本情報入力シート!M100)</f>
        <v/>
      </c>
      <c r="H152" s="1234" t="str">
        <f>IF(基本情報入力シート!R100="","",基本情報入力シート!R100)</f>
        <v/>
      </c>
      <c r="I152" s="1234" t="str">
        <f>IF(基本情報入力シート!W100="","",基本情報入力シート!W100)</f>
        <v/>
      </c>
      <c r="J152" s="1234" t="str">
        <f>IF(基本情報入力シート!X100="","",基本情報入力シート!X100)</f>
        <v/>
      </c>
      <c r="K152" s="1234" t="str">
        <f>IF(基本情報入力シート!Y100="","",基本情報入力シート!Y100)</f>
        <v/>
      </c>
      <c r="L152" s="1237" t="str">
        <f>IF(基本情報入力シート!AB100="","",基本情報入力シート!AB100)</f>
        <v/>
      </c>
      <c r="M152" s="1292" t="str">
        <f>IF(基本情報入力シート!AC100="","",基本情報入力シート!AC100)</f>
        <v/>
      </c>
      <c r="N152" s="547" t="s">
        <v>183</v>
      </c>
      <c r="O152" s="151"/>
      <c r="P152" s="548" t="str">
        <f>IFERROR(VLOOKUP(K152,【参考】数式用!$A$5:$J$27,MATCH(O152,【参考】数式用!$B$4:$J$4,0)+1,0),"")</f>
        <v/>
      </c>
      <c r="Q152" s="151"/>
      <c r="R152" s="548" t="str">
        <f>IFERROR(VLOOKUP(K152,【参考】数式用!$A$5:$J$27,MATCH(Q152,【参考】数式用!$B$4:$J$4,0)+1,0),"")</f>
        <v/>
      </c>
      <c r="S152" s="549" t="s">
        <v>19</v>
      </c>
      <c r="T152" s="550">
        <v>6</v>
      </c>
      <c r="U152" s="202" t="s">
        <v>10</v>
      </c>
      <c r="V152" s="71">
        <v>4</v>
      </c>
      <c r="W152" s="202" t="s">
        <v>45</v>
      </c>
      <c r="X152" s="550">
        <v>6</v>
      </c>
      <c r="Y152" s="202" t="s">
        <v>10</v>
      </c>
      <c r="Z152" s="71">
        <v>5</v>
      </c>
      <c r="AA152" s="202" t="s">
        <v>13</v>
      </c>
      <c r="AB152" s="551" t="s">
        <v>24</v>
      </c>
      <c r="AC152" s="552">
        <f t="shared" si="120"/>
        <v>2</v>
      </c>
      <c r="AD152" s="202" t="s">
        <v>38</v>
      </c>
      <c r="AE152" s="553" t="str">
        <f>IFERROR(ROUNDDOWN(ROUND(L152*R152,0)*M152,0)*AC152,"")</f>
        <v/>
      </c>
      <c r="AF152" s="554" t="str">
        <f>IFERROR(ROUNDDOWN(ROUND(L152*(R152-P152),0)*M152,0)*AC152,"")</f>
        <v/>
      </c>
      <c r="AG152" s="555"/>
      <c r="AH152" s="465"/>
      <c r="AI152" s="473"/>
      <c r="AJ152" s="470"/>
      <c r="AK152" s="471"/>
      <c r="AL152" s="451"/>
      <c r="AM152" s="452"/>
      <c r="AN152" s="556" t="str">
        <f t="shared" ref="AN152" si="198">IF(AP152="","",IF(R152&lt;P152,"！加算の要件上は問題ありませんが、令和６年３月と比較して４・５月に加算率が下がる計画になっています。",""))</f>
        <v/>
      </c>
      <c r="AP152" s="557" t="str">
        <f>IF(K152&lt;&gt;"","P列・R列に色付け","")</f>
        <v/>
      </c>
      <c r="AQ152" s="558" t="str">
        <f>IFERROR(VLOOKUP(K152,【参考】数式用!$AJ$2:$AK$24,2,FALSE),"")</f>
        <v/>
      </c>
      <c r="AR152" s="560" t="str">
        <f>Q152&amp;Q153&amp;Q154</f>
        <v/>
      </c>
      <c r="AS152" s="558" t="str">
        <f t="shared" ref="AS152" si="199">IF(AG154&lt;&gt;0,IF(AH154="○","入力済","未入力"),"")</f>
        <v/>
      </c>
      <c r="AT152" s="559" t="str">
        <f>IF(OR(Q152="処遇加算Ⅰ",Q152="処遇加算Ⅱ"),IF(OR(AI152="○",AI152="令和６年度中に満たす"),"入力済","未入力"),"")</f>
        <v/>
      </c>
      <c r="AU152" s="560" t="str">
        <f>IF(Q152="処遇加算Ⅲ",IF(AJ152="○","入力済","未入力"),"")</f>
        <v/>
      </c>
      <c r="AV152" s="558" t="str">
        <f>IF(Q152="処遇加算Ⅰ",IF(OR(AK152="○",AK152="令和６年度中に満たす"),"入力済","未入力"),"")</f>
        <v/>
      </c>
      <c r="AW152" s="558"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43" t="str">
        <f>IF(Q153="特定加算Ⅰ",IF(AM153="","未入力","入力済"),"")</f>
        <v/>
      </c>
      <c r="AY152" s="543" t="str">
        <f>G152</f>
        <v/>
      </c>
    </row>
    <row r="153" spans="1:51" ht="32.1" customHeight="1">
      <c r="A153" s="1226"/>
      <c r="B153" s="1223"/>
      <c r="C153" s="1223"/>
      <c r="D153" s="1223"/>
      <c r="E153" s="1223"/>
      <c r="F153" s="1223"/>
      <c r="G153" s="1235"/>
      <c r="H153" s="1235"/>
      <c r="I153" s="1235"/>
      <c r="J153" s="1235"/>
      <c r="K153" s="1235"/>
      <c r="L153" s="1238"/>
      <c r="M153" s="1293"/>
      <c r="N153" s="561" t="s">
        <v>170</v>
      </c>
      <c r="O153" s="152"/>
      <c r="P153" s="562" t="str">
        <f>IFERROR(VLOOKUP(K152,【参考】数式用!$A$5:$J$27,MATCH(O153,【参考】数式用!$B$4:$J$4,0)+1,0),"")</f>
        <v/>
      </c>
      <c r="Q153" s="152"/>
      <c r="R153" s="562" t="str">
        <f>IFERROR(VLOOKUP(K152,【参考】数式用!$A$5:$J$27,MATCH(Q153,【参考】数式用!$B$4:$J$4,0)+1,0),"")</f>
        <v/>
      </c>
      <c r="S153" s="173" t="s">
        <v>19</v>
      </c>
      <c r="T153" s="563">
        <v>6</v>
      </c>
      <c r="U153" s="174" t="s">
        <v>10</v>
      </c>
      <c r="V153" s="109">
        <v>4</v>
      </c>
      <c r="W153" s="174" t="s">
        <v>45</v>
      </c>
      <c r="X153" s="563">
        <v>6</v>
      </c>
      <c r="Y153" s="174" t="s">
        <v>10</v>
      </c>
      <c r="Z153" s="109">
        <v>5</v>
      </c>
      <c r="AA153" s="174" t="s">
        <v>13</v>
      </c>
      <c r="AB153" s="564" t="s">
        <v>24</v>
      </c>
      <c r="AC153" s="565">
        <f t="shared" si="120"/>
        <v>2</v>
      </c>
      <c r="AD153" s="174" t="s">
        <v>38</v>
      </c>
      <c r="AE153" s="566" t="str">
        <f>IFERROR(ROUNDDOWN(ROUND(L152*R153,0)*M152,0)*AC153,"")</f>
        <v/>
      </c>
      <c r="AF153" s="567" t="str">
        <f>IFERROR(ROUNDDOWN(ROUND(L152*(R153-P153),0)*M152,0)*AC153,"")</f>
        <v/>
      </c>
      <c r="AG153" s="568"/>
      <c r="AH153" s="453"/>
      <c r="AI153" s="454"/>
      <c r="AJ153" s="455"/>
      <c r="AK153" s="456"/>
      <c r="AL153" s="457"/>
      <c r="AM153" s="458"/>
      <c r="AN153" s="569" t="str">
        <f t="shared" ref="AN153" si="200">IF(AP152="","",IF(OR(Z152=4,Z153=4,Z154=4),"！加算の要件上は問題ありませんが、算定期間の終わりが令和６年５月になっていません。区分変更の場合は、「基本情報入力シート」で同じ事業所を２行に分けて記入してください。",""))</f>
        <v/>
      </c>
      <c r="AO153" s="570"/>
      <c r="AP153" s="557" t="str">
        <f>IF(K152&lt;&gt;"","P列・R列に色付け","")</f>
        <v/>
      </c>
      <c r="AY153" s="543" t="str">
        <f>G152</f>
        <v/>
      </c>
    </row>
    <row r="154" spans="1:51" ht="32.1" customHeight="1" thickBot="1">
      <c r="A154" s="1227"/>
      <c r="B154" s="1224"/>
      <c r="C154" s="1224"/>
      <c r="D154" s="1224"/>
      <c r="E154" s="1224"/>
      <c r="F154" s="1224"/>
      <c r="G154" s="1236"/>
      <c r="H154" s="1236"/>
      <c r="I154" s="1236"/>
      <c r="J154" s="1236"/>
      <c r="K154" s="1236"/>
      <c r="L154" s="1239"/>
      <c r="M154" s="1294"/>
      <c r="N154" s="571" t="s">
        <v>140</v>
      </c>
      <c r="O154" s="155"/>
      <c r="P154" s="591" t="str">
        <f>IFERROR(VLOOKUP(K152,【参考】数式用!$A$5:$J$27,MATCH(O154,【参考】数式用!$B$4:$J$4,0)+1,0),"")</f>
        <v/>
      </c>
      <c r="Q154" s="153"/>
      <c r="R154" s="572" t="str">
        <f>IFERROR(VLOOKUP(K152,【参考】数式用!$A$5:$J$27,MATCH(Q154,【参考】数式用!$B$4:$J$4,0)+1,0),"")</f>
        <v/>
      </c>
      <c r="S154" s="573" t="s">
        <v>19</v>
      </c>
      <c r="T154" s="574">
        <v>6</v>
      </c>
      <c r="U154" s="575" t="s">
        <v>10</v>
      </c>
      <c r="V154" s="110">
        <v>4</v>
      </c>
      <c r="W154" s="575" t="s">
        <v>45</v>
      </c>
      <c r="X154" s="574">
        <v>6</v>
      </c>
      <c r="Y154" s="575" t="s">
        <v>10</v>
      </c>
      <c r="Z154" s="110">
        <v>5</v>
      </c>
      <c r="AA154" s="575" t="s">
        <v>13</v>
      </c>
      <c r="AB154" s="576" t="s">
        <v>24</v>
      </c>
      <c r="AC154" s="577">
        <f t="shared" si="120"/>
        <v>2</v>
      </c>
      <c r="AD154" s="575" t="s">
        <v>38</v>
      </c>
      <c r="AE154" s="590" t="str">
        <f>IFERROR(ROUNDDOWN(ROUND(L152*R154,0)*M152,0)*AC154,"")</f>
        <v/>
      </c>
      <c r="AF154" s="579" t="str">
        <f>IFERROR(ROUNDDOWN(ROUND(L152*(R154-P154),0)*M152,0)*AC154,"")</f>
        <v/>
      </c>
      <c r="AG154" s="580">
        <f t="shared" si="156"/>
        <v>0</v>
      </c>
      <c r="AH154" s="459"/>
      <c r="AI154" s="460"/>
      <c r="AJ154" s="461"/>
      <c r="AK154" s="462"/>
      <c r="AL154" s="463"/>
      <c r="AM154" s="464"/>
      <c r="AN154" s="581" t="str">
        <f t="shared" ref="AN154" si="201">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82" t="str">
        <f>IF(K152&lt;&gt;"","P列・R列に色付け","")</f>
        <v/>
      </c>
      <c r="AQ154" s="583"/>
      <c r="AR154" s="583"/>
      <c r="AX154" s="584"/>
      <c r="AY154" s="543" t="str">
        <f>G152</f>
        <v/>
      </c>
    </row>
    <row r="155" spans="1:51" ht="32.1" customHeight="1">
      <c r="A155" s="1225">
        <v>48</v>
      </c>
      <c r="B155" s="1222" t="str">
        <f>IF(基本情報入力シート!C101="","",基本情報入力シート!C101)</f>
        <v/>
      </c>
      <c r="C155" s="1222"/>
      <c r="D155" s="1222"/>
      <c r="E155" s="1222"/>
      <c r="F155" s="1222"/>
      <c r="G155" s="1234" t="str">
        <f>IF(基本情報入力シート!M101="","",基本情報入力シート!M101)</f>
        <v/>
      </c>
      <c r="H155" s="1234" t="str">
        <f>IF(基本情報入力シート!R101="","",基本情報入力シート!R101)</f>
        <v/>
      </c>
      <c r="I155" s="1234" t="str">
        <f>IF(基本情報入力シート!W101="","",基本情報入力シート!W101)</f>
        <v/>
      </c>
      <c r="J155" s="1234" t="str">
        <f>IF(基本情報入力シート!X101="","",基本情報入力シート!X101)</f>
        <v/>
      </c>
      <c r="K155" s="1234" t="str">
        <f>IF(基本情報入力シート!Y101="","",基本情報入力シート!Y101)</f>
        <v/>
      </c>
      <c r="L155" s="1237" t="str">
        <f>IF(基本情報入力シート!AB101="","",基本情報入力シート!AB101)</f>
        <v/>
      </c>
      <c r="M155" s="1292" t="str">
        <f>IF(基本情報入力シート!AC101="","",基本情報入力シート!AC101)</f>
        <v/>
      </c>
      <c r="N155" s="547" t="s">
        <v>183</v>
      </c>
      <c r="O155" s="151"/>
      <c r="P155" s="548" t="str">
        <f>IFERROR(VLOOKUP(K155,【参考】数式用!$A$5:$J$27,MATCH(O155,【参考】数式用!$B$4:$J$4,0)+1,0),"")</f>
        <v/>
      </c>
      <c r="Q155" s="151"/>
      <c r="R155" s="548" t="str">
        <f>IFERROR(VLOOKUP(K155,【参考】数式用!$A$5:$J$27,MATCH(Q155,【参考】数式用!$B$4:$J$4,0)+1,0),"")</f>
        <v/>
      </c>
      <c r="S155" s="549" t="s">
        <v>19</v>
      </c>
      <c r="T155" s="550">
        <v>6</v>
      </c>
      <c r="U155" s="202" t="s">
        <v>10</v>
      </c>
      <c r="V155" s="71">
        <v>4</v>
      </c>
      <c r="W155" s="202" t="s">
        <v>45</v>
      </c>
      <c r="X155" s="550">
        <v>6</v>
      </c>
      <c r="Y155" s="202" t="s">
        <v>10</v>
      </c>
      <c r="Z155" s="71">
        <v>5</v>
      </c>
      <c r="AA155" s="202" t="s">
        <v>13</v>
      </c>
      <c r="AB155" s="551" t="s">
        <v>24</v>
      </c>
      <c r="AC155" s="552">
        <f t="shared" si="120"/>
        <v>2</v>
      </c>
      <c r="AD155" s="202" t="s">
        <v>38</v>
      </c>
      <c r="AE155" s="553" t="str">
        <f>IFERROR(ROUNDDOWN(ROUND(L155*R155,0)*M155,0)*AC155,"")</f>
        <v/>
      </c>
      <c r="AF155" s="554" t="str">
        <f>IFERROR(ROUNDDOWN(ROUND(L155*(R155-P155),0)*M155,0)*AC155,"")</f>
        <v/>
      </c>
      <c r="AG155" s="555"/>
      <c r="AH155" s="465"/>
      <c r="AI155" s="473"/>
      <c r="AJ155" s="470"/>
      <c r="AK155" s="471"/>
      <c r="AL155" s="451"/>
      <c r="AM155" s="452"/>
      <c r="AN155" s="556" t="str">
        <f t="shared" ref="AN155" si="202">IF(AP155="","",IF(R155&lt;P155,"！加算の要件上は問題ありませんが、令和６年３月と比較して４・５月に加算率が下がる計画になっています。",""))</f>
        <v/>
      </c>
      <c r="AP155" s="557" t="str">
        <f>IF(K155&lt;&gt;"","P列・R列に色付け","")</f>
        <v/>
      </c>
      <c r="AQ155" s="558" t="str">
        <f>IFERROR(VLOOKUP(K155,【参考】数式用!$AJ$2:$AK$24,2,FALSE),"")</f>
        <v/>
      </c>
      <c r="AR155" s="560" t="str">
        <f>Q155&amp;Q156&amp;Q157</f>
        <v/>
      </c>
      <c r="AS155" s="558" t="str">
        <f t="shared" ref="AS155" si="203">IF(AG157&lt;&gt;0,IF(AH157="○","入力済","未入力"),"")</f>
        <v/>
      </c>
      <c r="AT155" s="559" t="str">
        <f>IF(OR(Q155="処遇加算Ⅰ",Q155="処遇加算Ⅱ"),IF(OR(AI155="○",AI155="令和６年度中に満たす"),"入力済","未入力"),"")</f>
        <v/>
      </c>
      <c r="AU155" s="560" t="str">
        <f>IF(Q155="処遇加算Ⅲ",IF(AJ155="○","入力済","未入力"),"")</f>
        <v/>
      </c>
      <c r="AV155" s="558" t="str">
        <f>IF(Q155="処遇加算Ⅰ",IF(OR(AK155="○",AK155="令和６年度中に満たす"),"入力済","未入力"),"")</f>
        <v/>
      </c>
      <c r="AW155" s="558"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43" t="str">
        <f>IF(Q156="特定加算Ⅰ",IF(AM156="","未入力","入力済"),"")</f>
        <v/>
      </c>
      <c r="AY155" s="543" t="str">
        <f>G155</f>
        <v/>
      </c>
    </row>
    <row r="156" spans="1:51" ht="32.1" customHeight="1">
      <c r="A156" s="1226"/>
      <c r="B156" s="1223"/>
      <c r="C156" s="1223"/>
      <c r="D156" s="1223"/>
      <c r="E156" s="1223"/>
      <c r="F156" s="1223"/>
      <c r="G156" s="1235"/>
      <c r="H156" s="1235"/>
      <c r="I156" s="1235"/>
      <c r="J156" s="1235"/>
      <c r="K156" s="1235"/>
      <c r="L156" s="1238"/>
      <c r="M156" s="1293"/>
      <c r="N156" s="561" t="s">
        <v>170</v>
      </c>
      <c r="O156" s="152"/>
      <c r="P156" s="562" t="str">
        <f>IFERROR(VLOOKUP(K155,【参考】数式用!$A$5:$J$27,MATCH(O156,【参考】数式用!$B$4:$J$4,0)+1,0),"")</f>
        <v/>
      </c>
      <c r="Q156" s="152"/>
      <c r="R156" s="562" t="str">
        <f>IFERROR(VLOOKUP(K155,【参考】数式用!$A$5:$J$27,MATCH(Q156,【参考】数式用!$B$4:$J$4,0)+1,0),"")</f>
        <v/>
      </c>
      <c r="S156" s="173" t="s">
        <v>19</v>
      </c>
      <c r="T156" s="563">
        <v>6</v>
      </c>
      <c r="U156" s="174" t="s">
        <v>10</v>
      </c>
      <c r="V156" s="109">
        <v>4</v>
      </c>
      <c r="W156" s="174" t="s">
        <v>45</v>
      </c>
      <c r="X156" s="563">
        <v>6</v>
      </c>
      <c r="Y156" s="174" t="s">
        <v>10</v>
      </c>
      <c r="Z156" s="109">
        <v>5</v>
      </c>
      <c r="AA156" s="174" t="s">
        <v>13</v>
      </c>
      <c r="AB156" s="564" t="s">
        <v>24</v>
      </c>
      <c r="AC156" s="565">
        <f t="shared" si="120"/>
        <v>2</v>
      </c>
      <c r="AD156" s="174" t="s">
        <v>38</v>
      </c>
      <c r="AE156" s="566" t="str">
        <f>IFERROR(ROUNDDOWN(ROUND(L155*R156,0)*M155,0)*AC156,"")</f>
        <v/>
      </c>
      <c r="AF156" s="567" t="str">
        <f>IFERROR(ROUNDDOWN(ROUND(L155*(R156-P156),0)*M155,0)*AC156,"")</f>
        <v/>
      </c>
      <c r="AG156" s="568"/>
      <c r="AH156" s="453"/>
      <c r="AI156" s="454"/>
      <c r="AJ156" s="455"/>
      <c r="AK156" s="456"/>
      <c r="AL156" s="457"/>
      <c r="AM156" s="458"/>
      <c r="AN156" s="569" t="str">
        <f t="shared" ref="AN156" si="204">IF(AP155="","",IF(OR(Z155=4,Z156=4,Z157=4),"！加算の要件上は問題ありませんが、算定期間の終わりが令和６年５月になっていません。区分変更の場合は、「基本情報入力シート」で同じ事業所を２行に分けて記入してください。",""))</f>
        <v/>
      </c>
      <c r="AO156" s="570"/>
      <c r="AP156" s="557" t="str">
        <f>IF(K155&lt;&gt;"","P列・R列に色付け","")</f>
        <v/>
      </c>
      <c r="AY156" s="543" t="str">
        <f>G155</f>
        <v/>
      </c>
    </row>
    <row r="157" spans="1:51" ht="32.1" customHeight="1" thickBot="1">
      <c r="A157" s="1227"/>
      <c r="B157" s="1224"/>
      <c r="C157" s="1224"/>
      <c r="D157" s="1224"/>
      <c r="E157" s="1224"/>
      <c r="F157" s="1224"/>
      <c r="G157" s="1236"/>
      <c r="H157" s="1236"/>
      <c r="I157" s="1236"/>
      <c r="J157" s="1236"/>
      <c r="K157" s="1236"/>
      <c r="L157" s="1239"/>
      <c r="M157" s="1294"/>
      <c r="N157" s="571" t="s">
        <v>140</v>
      </c>
      <c r="O157" s="155"/>
      <c r="P157" s="591" t="str">
        <f>IFERROR(VLOOKUP(K155,【参考】数式用!$A$5:$J$27,MATCH(O157,【参考】数式用!$B$4:$J$4,0)+1,0),"")</f>
        <v/>
      </c>
      <c r="Q157" s="153"/>
      <c r="R157" s="572" t="str">
        <f>IFERROR(VLOOKUP(K155,【参考】数式用!$A$5:$J$27,MATCH(Q157,【参考】数式用!$B$4:$J$4,0)+1,0),"")</f>
        <v/>
      </c>
      <c r="S157" s="573" t="s">
        <v>19</v>
      </c>
      <c r="T157" s="574">
        <v>6</v>
      </c>
      <c r="U157" s="575" t="s">
        <v>10</v>
      </c>
      <c r="V157" s="110">
        <v>4</v>
      </c>
      <c r="W157" s="575" t="s">
        <v>45</v>
      </c>
      <c r="X157" s="574">
        <v>6</v>
      </c>
      <c r="Y157" s="575" t="s">
        <v>10</v>
      </c>
      <c r="Z157" s="110">
        <v>5</v>
      </c>
      <c r="AA157" s="575" t="s">
        <v>13</v>
      </c>
      <c r="AB157" s="576" t="s">
        <v>24</v>
      </c>
      <c r="AC157" s="577">
        <f t="shared" si="120"/>
        <v>2</v>
      </c>
      <c r="AD157" s="575" t="s">
        <v>38</v>
      </c>
      <c r="AE157" s="590" t="str">
        <f>IFERROR(ROUNDDOWN(ROUND(L155*R157,0)*M155,0)*AC157,"")</f>
        <v/>
      </c>
      <c r="AF157" s="579" t="str">
        <f>IFERROR(ROUNDDOWN(ROUND(L155*(R157-P157),0)*M155,0)*AC157,"")</f>
        <v/>
      </c>
      <c r="AG157" s="580">
        <f t="shared" si="156"/>
        <v>0</v>
      </c>
      <c r="AH157" s="459"/>
      <c r="AI157" s="460"/>
      <c r="AJ157" s="461"/>
      <c r="AK157" s="462"/>
      <c r="AL157" s="463"/>
      <c r="AM157" s="464"/>
      <c r="AN157" s="581" t="str">
        <f t="shared" ref="AN157" si="205">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82" t="str">
        <f>IF(K155&lt;&gt;"","P列・R列に色付け","")</f>
        <v/>
      </c>
      <c r="AQ157" s="583"/>
      <c r="AR157" s="583"/>
      <c r="AX157" s="584"/>
      <c r="AY157" s="543" t="str">
        <f>G155</f>
        <v/>
      </c>
    </row>
    <row r="158" spans="1:51" ht="32.1" customHeight="1">
      <c r="A158" s="1225">
        <v>49</v>
      </c>
      <c r="B158" s="1222" t="str">
        <f>IF(基本情報入力シート!C102="","",基本情報入力シート!C102)</f>
        <v/>
      </c>
      <c r="C158" s="1222"/>
      <c r="D158" s="1222"/>
      <c r="E158" s="1222"/>
      <c r="F158" s="1222"/>
      <c r="G158" s="1234" t="str">
        <f>IF(基本情報入力シート!M102="","",基本情報入力シート!M102)</f>
        <v/>
      </c>
      <c r="H158" s="1234" t="str">
        <f>IF(基本情報入力シート!R102="","",基本情報入力シート!R102)</f>
        <v/>
      </c>
      <c r="I158" s="1234" t="str">
        <f>IF(基本情報入力シート!W102="","",基本情報入力シート!W102)</f>
        <v/>
      </c>
      <c r="J158" s="1234" t="str">
        <f>IF(基本情報入力シート!X102="","",基本情報入力シート!X102)</f>
        <v/>
      </c>
      <c r="K158" s="1234" t="str">
        <f>IF(基本情報入力シート!Y102="","",基本情報入力シート!Y102)</f>
        <v/>
      </c>
      <c r="L158" s="1237" t="str">
        <f>IF(基本情報入力シート!AB102="","",基本情報入力シート!AB102)</f>
        <v/>
      </c>
      <c r="M158" s="1292" t="str">
        <f>IF(基本情報入力シート!AC102="","",基本情報入力シート!AC102)</f>
        <v/>
      </c>
      <c r="N158" s="547" t="s">
        <v>183</v>
      </c>
      <c r="O158" s="151"/>
      <c r="P158" s="548" t="str">
        <f>IFERROR(VLOOKUP(K158,【参考】数式用!$A$5:$J$27,MATCH(O158,【参考】数式用!$B$4:$J$4,0)+1,0),"")</f>
        <v/>
      </c>
      <c r="Q158" s="151"/>
      <c r="R158" s="548" t="str">
        <f>IFERROR(VLOOKUP(K158,【参考】数式用!$A$5:$J$27,MATCH(Q158,【参考】数式用!$B$4:$J$4,0)+1,0),"")</f>
        <v/>
      </c>
      <c r="S158" s="549" t="s">
        <v>19</v>
      </c>
      <c r="T158" s="550">
        <v>6</v>
      </c>
      <c r="U158" s="202" t="s">
        <v>10</v>
      </c>
      <c r="V158" s="71">
        <v>4</v>
      </c>
      <c r="W158" s="202" t="s">
        <v>45</v>
      </c>
      <c r="X158" s="550">
        <v>6</v>
      </c>
      <c r="Y158" s="202" t="s">
        <v>10</v>
      </c>
      <c r="Z158" s="71">
        <v>5</v>
      </c>
      <c r="AA158" s="202" t="s">
        <v>13</v>
      </c>
      <c r="AB158" s="551" t="s">
        <v>24</v>
      </c>
      <c r="AC158" s="552">
        <f t="shared" si="120"/>
        <v>2</v>
      </c>
      <c r="AD158" s="202" t="s">
        <v>38</v>
      </c>
      <c r="AE158" s="553" t="str">
        <f>IFERROR(ROUNDDOWN(ROUND(L158*R158,0)*M158,0)*AC158,"")</f>
        <v/>
      </c>
      <c r="AF158" s="554" t="str">
        <f>IFERROR(ROUNDDOWN(ROUND(L158*(R158-P158),0)*M158,0)*AC158,"")</f>
        <v/>
      </c>
      <c r="AG158" s="555"/>
      <c r="AH158" s="465"/>
      <c r="AI158" s="473"/>
      <c r="AJ158" s="470"/>
      <c r="AK158" s="471"/>
      <c r="AL158" s="451"/>
      <c r="AM158" s="452"/>
      <c r="AN158" s="556" t="str">
        <f t="shared" ref="AN158" si="206">IF(AP158="","",IF(R158&lt;P158,"！加算の要件上は問題ありませんが、令和６年３月と比較して４・５月に加算率が下がる計画になっています。",""))</f>
        <v/>
      </c>
      <c r="AP158" s="557" t="str">
        <f>IF(K158&lt;&gt;"","P列・R列に色付け","")</f>
        <v/>
      </c>
      <c r="AQ158" s="558" t="str">
        <f>IFERROR(VLOOKUP(K158,【参考】数式用!$AJ$2:$AK$24,2,FALSE),"")</f>
        <v/>
      </c>
      <c r="AR158" s="560" t="str">
        <f>Q158&amp;Q159&amp;Q160</f>
        <v/>
      </c>
      <c r="AS158" s="558" t="str">
        <f t="shared" ref="AS158" si="207">IF(AG160&lt;&gt;0,IF(AH160="○","入力済","未入力"),"")</f>
        <v/>
      </c>
      <c r="AT158" s="559" t="str">
        <f>IF(OR(Q158="処遇加算Ⅰ",Q158="処遇加算Ⅱ"),IF(OR(AI158="○",AI158="令和６年度中に満たす"),"入力済","未入力"),"")</f>
        <v/>
      </c>
      <c r="AU158" s="560" t="str">
        <f>IF(Q158="処遇加算Ⅲ",IF(AJ158="○","入力済","未入力"),"")</f>
        <v/>
      </c>
      <c r="AV158" s="558" t="str">
        <f>IF(Q158="処遇加算Ⅰ",IF(OR(AK158="○",AK158="令和６年度中に満たす"),"入力済","未入力"),"")</f>
        <v/>
      </c>
      <c r="AW158" s="558"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43" t="str">
        <f>IF(Q159="特定加算Ⅰ",IF(AM159="","未入力","入力済"),"")</f>
        <v/>
      </c>
      <c r="AY158" s="543" t="str">
        <f>G158</f>
        <v/>
      </c>
    </row>
    <row r="159" spans="1:51" ht="32.1" customHeight="1">
      <c r="A159" s="1226"/>
      <c r="B159" s="1223"/>
      <c r="C159" s="1223"/>
      <c r="D159" s="1223"/>
      <c r="E159" s="1223"/>
      <c r="F159" s="1223"/>
      <c r="G159" s="1235"/>
      <c r="H159" s="1235"/>
      <c r="I159" s="1235"/>
      <c r="J159" s="1235"/>
      <c r="K159" s="1235"/>
      <c r="L159" s="1238"/>
      <c r="M159" s="1293"/>
      <c r="N159" s="561" t="s">
        <v>170</v>
      </c>
      <c r="O159" s="152"/>
      <c r="P159" s="562" t="str">
        <f>IFERROR(VLOOKUP(K158,【参考】数式用!$A$5:$J$27,MATCH(O159,【参考】数式用!$B$4:$J$4,0)+1,0),"")</f>
        <v/>
      </c>
      <c r="Q159" s="152"/>
      <c r="R159" s="562" t="str">
        <f>IFERROR(VLOOKUP(K158,【参考】数式用!$A$5:$J$27,MATCH(Q159,【参考】数式用!$B$4:$J$4,0)+1,0),"")</f>
        <v/>
      </c>
      <c r="S159" s="173" t="s">
        <v>19</v>
      </c>
      <c r="T159" s="563">
        <v>6</v>
      </c>
      <c r="U159" s="174" t="s">
        <v>10</v>
      </c>
      <c r="V159" s="109">
        <v>4</v>
      </c>
      <c r="W159" s="174" t="s">
        <v>45</v>
      </c>
      <c r="X159" s="563">
        <v>6</v>
      </c>
      <c r="Y159" s="174" t="s">
        <v>10</v>
      </c>
      <c r="Z159" s="109">
        <v>5</v>
      </c>
      <c r="AA159" s="174" t="s">
        <v>13</v>
      </c>
      <c r="AB159" s="564" t="s">
        <v>24</v>
      </c>
      <c r="AC159" s="565">
        <f t="shared" ref="AC159:AC222" si="208">IF(V159&gt;=1,(X159*12+Z159)-(T159*12+V159)+1,"")</f>
        <v>2</v>
      </c>
      <c r="AD159" s="174" t="s">
        <v>38</v>
      </c>
      <c r="AE159" s="566" t="str">
        <f>IFERROR(ROUNDDOWN(ROUND(L158*R159,0)*M158,0)*AC159,"")</f>
        <v/>
      </c>
      <c r="AF159" s="567" t="str">
        <f>IFERROR(ROUNDDOWN(ROUND(L158*(R159-P159),0)*M158,0)*AC159,"")</f>
        <v/>
      </c>
      <c r="AG159" s="568"/>
      <c r="AH159" s="453"/>
      <c r="AI159" s="454"/>
      <c r="AJ159" s="455"/>
      <c r="AK159" s="456"/>
      <c r="AL159" s="457"/>
      <c r="AM159" s="458"/>
      <c r="AN159" s="569" t="str">
        <f t="shared" ref="AN159" si="209">IF(AP158="","",IF(OR(Z158=4,Z159=4,Z160=4),"！加算の要件上は問題ありませんが、算定期間の終わりが令和６年５月になっていません。区分変更の場合は、「基本情報入力シート」で同じ事業所を２行に分けて記入してください。",""))</f>
        <v/>
      </c>
      <c r="AO159" s="570"/>
      <c r="AP159" s="557" t="str">
        <f>IF(K158&lt;&gt;"","P列・R列に色付け","")</f>
        <v/>
      </c>
      <c r="AY159" s="543" t="str">
        <f>G158</f>
        <v/>
      </c>
    </row>
    <row r="160" spans="1:51" ht="32.1" customHeight="1" thickBot="1">
      <c r="A160" s="1227"/>
      <c r="B160" s="1224"/>
      <c r="C160" s="1224"/>
      <c r="D160" s="1224"/>
      <c r="E160" s="1224"/>
      <c r="F160" s="1224"/>
      <c r="G160" s="1236"/>
      <c r="H160" s="1236"/>
      <c r="I160" s="1236"/>
      <c r="J160" s="1236"/>
      <c r="K160" s="1236"/>
      <c r="L160" s="1239"/>
      <c r="M160" s="1294"/>
      <c r="N160" s="571" t="s">
        <v>140</v>
      </c>
      <c r="O160" s="155"/>
      <c r="P160" s="591" t="str">
        <f>IFERROR(VLOOKUP(K158,【参考】数式用!$A$5:$J$27,MATCH(O160,【参考】数式用!$B$4:$J$4,0)+1,0),"")</f>
        <v/>
      </c>
      <c r="Q160" s="153"/>
      <c r="R160" s="572" t="str">
        <f>IFERROR(VLOOKUP(K158,【参考】数式用!$A$5:$J$27,MATCH(Q160,【参考】数式用!$B$4:$J$4,0)+1,0),"")</f>
        <v/>
      </c>
      <c r="S160" s="573" t="s">
        <v>19</v>
      </c>
      <c r="T160" s="574">
        <v>6</v>
      </c>
      <c r="U160" s="575" t="s">
        <v>10</v>
      </c>
      <c r="V160" s="110">
        <v>4</v>
      </c>
      <c r="W160" s="575" t="s">
        <v>45</v>
      </c>
      <c r="X160" s="574">
        <v>6</v>
      </c>
      <c r="Y160" s="575" t="s">
        <v>10</v>
      </c>
      <c r="Z160" s="110">
        <v>5</v>
      </c>
      <c r="AA160" s="575" t="s">
        <v>13</v>
      </c>
      <c r="AB160" s="576" t="s">
        <v>24</v>
      </c>
      <c r="AC160" s="577">
        <f t="shared" si="208"/>
        <v>2</v>
      </c>
      <c r="AD160" s="575" t="s">
        <v>38</v>
      </c>
      <c r="AE160" s="590" t="str">
        <f>IFERROR(ROUNDDOWN(ROUND(L158*R160,0)*M158,0)*AC160,"")</f>
        <v/>
      </c>
      <c r="AF160" s="579" t="str">
        <f>IFERROR(ROUNDDOWN(ROUND(L158*(R160-P160),0)*M158,0)*AC160,"")</f>
        <v/>
      </c>
      <c r="AG160" s="580">
        <f t="shared" si="156"/>
        <v>0</v>
      </c>
      <c r="AH160" s="459"/>
      <c r="AI160" s="460"/>
      <c r="AJ160" s="461"/>
      <c r="AK160" s="462"/>
      <c r="AL160" s="463"/>
      <c r="AM160" s="464"/>
      <c r="AN160" s="581" t="str">
        <f t="shared" ref="AN160" si="210">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82" t="str">
        <f>IF(K158&lt;&gt;"","P列・R列に色付け","")</f>
        <v/>
      </c>
      <c r="AQ160" s="583"/>
      <c r="AR160" s="583"/>
      <c r="AX160" s="584"/>
      <c r="AY160" s="543" t="str">
        <f>G158</f>
        <v/>
      </c>
    </row>
    <row r="161" spans="1:51" ht="32.1" customHeight="1">
      <c r="A161" s="1225">
        <v>50</v>
      </c>
      <c r="B161" s="1222" t="str">
        <f>IF(基本情報入力シート!C103="","",基本情報入力シート!C103)</f>
        <v/>
      </c>
      <c r="C161" s="1222"/>
      <c r="D161" s="1222"/>
      <c r="E161" s="1222"/>
      <c r="F161" s="1222"/>
      <c r="G161" s="1234" t="str">
        <f>IF(基本情報入力シート!M103="","",基本情報入力シート!M103)</f>
        <v/>
      </c>
      <c r="H161" s="1234" t="str">
        <f>IF(基本情報入力シート!R103="","",基本情報入力シート!R103)</f>
        <v/>
      </c>
      <c r="I161" s="1234" t="str">
        <f>IF(基本情報入力シート!W103="","",基本情報入力シート!W103)</f>
        <v/>
      </c>
      <c r="J161" s="1234" t="str">
        <f>IF(基本情報入力シート!X103="","",基本情報入力シート!X103)</f>
        <v/>
      </c>
      <c r="K161" s="1234" t="str">
        <f>IF(基本情報入力シート!Y103="","",基本情報入力シート!Y103)</f>
        <v/>
      </c>
      <c r="L161" s="1237" t="str">
        <f>IF(基本情報入力シート!AB103="","",基本情報入力シート!AB103)</f>
        <v/>
      </c>
      <c r="M161" s="1292" t="str">
        <f>IF(基本情報入力シート!AC103="","",基本情報入力シート!AC103)</f>
        <v/>
      </c>
      <c r="N161" s="547" t="s">
        <v>183</v>
      </c>
      <c r="O161" s="151"/>
      <c r="P161" s="548" t="str">
        <f>IFERROR(VLOOKUP(K161,【参考】数式用!$A$5:$J$27,MATCH(O161,【参考】数式用!$B$4:$J$4,0)+1,0),"")</f>
        <v/>
      </c>
      <c r="Q161" s="151"/>
      <c r="R161" s="548" t="str">
        <f>IFERROR(VLOOKUP(K161,【参考】数式用!$A$5:$J$27,MATCH(Q161,【参考】数式用!$B$4:$J$4,0)+1,0),"")</f>
        <v/>
      </c>
      <c r="S161" s="549" t="s">
        <v>19</v>
      </c>
      <c r="T161" s="550">
        <v>6</v>
      </c>
      <c r="U161" s="202" t="s">
        <v>10</v>
      </c>
      <c r="V161" s="71">
        <v>4</v>
      </c>
      <c r="W161" s="202" t="s">
        <v>45</v>
      </c>
      <c r="X161" s="550">
        <v>6</v>
      </c>
      <c r="Y161" s="202" t="s">
        <v>10</v>
      </c>
      <c r="Z161" s="71">
        <v>5</v>
      </c>
      <c r="AA161" s="202" t="s">
        <v>13</v>
      </c>
      <c r="AB161" s="551" t="s">
        <v>24</v>
      </c>
      <c r="AC161" s="552">
        <f t="shared" si="208"/>
        <v>2</v>
      </c>
      <c r="AD161" s="202" t="s">
        <v>38</v>
      </c>
      <c r="AE161" s="553" t="str">
        <f>IFERROR(ROUNDDOWN(ROUND(L161*R161,0)*M161,0)*AC161,"")</f>
        <v/>
      </c>
      <c r="AF161" s="554" t="str">
        <f>IFERROR(ROUNDDOWN(ROUND(L161*(R161-P161),0)*M161,0)*AC161,"")</f>
        <v/>
      </c>
      <c r="AG161" s="555"/>
      <c r="AH161" s="465"/>
      <c r="AI161" s="473"/>
      <c r="AJ161" s="470"/>
      <c r="AK161" s="471"/>
      <c r="AL161" s="451"/>
      <c r="AM161" s="452"/>
      <c r="AN161" s="556" t="str">
        <f t="shared" ref="AN161" si="211">IF(AP161="","",IF(R161&lt;P161,"！加算の要件上は問題ありませんが、令和６年３月と比較して４・５月に加算率が下がる計画になっています。",""))</f>
        <v/>
      </c>
      <c r="AP161" s="557" t="str">
        <f>IF(K161&lt;&gt;"","P列・R列に色付け","")</f>
        <v/>
      </c>
      <c r="AQ161" s="558" t="str">
        <f>IFERROR(VLOOKUP(K161,【参考】数式用!$AJ$2:$AK$24,2,FALSE),"")</f>
        <v/>
      </c>
      <c r="AR161" s="560" t="str">
        <f>Q161&amp;Q162&amp;Q163</f>
        <v/>
      </c>
      <c r="AS161" s="558" t="str">
        <f t="shared" ref="AS161" si="212">IF(AG163&lt;&gt;0,IF(AH163="○","入力済","未入力"),"")</f>
        <v/>
      </c>
      <c r="AT161" s="559" t="str">
        <f>IF(OR(Q161="処遇加算Ⅰ",Q161="処遇加算Ⅱ"),IF(OR(AI161="○",AI161="令和６年度中に満たす"),"入力済","未入力"),"")</f>
        <v/>
      </c>
      <c r="AU161" s="560" t="str">
        <f>IF(Q161="処遇加算Ⅲ",IF(AJ161="○","入力済","未入力"),"")</f>
        <v/>
      </c>
      <c r="AV161" s="558" t="str">
        <f>IF(Q161="処遇加算Ⅰ",IF(OR(AK161="○",AK161="令和６年度中に満たす"),"入力済","未入力"),"")</f>
        <v/>
      </c>
      <c r="AW161" s="558"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43" t="str">
        <f>IF(Q162="特定加算Ⅰ",IF(AM162="","未入力","入力済"),"")</f>
        <v/>
      </c>
      <c r="AY161" s="543" t="str">
        <f>G161</f>
        <v/>
      </c>
    </row>
    <row r="162" spans="1:51" ht="32.1" customHeight="1">
      <c r="A162" s="1226"/>
      <c r="B162" s="1223"/>
      <c r="C162" s="1223"/>
      <c r="D162" s="1223"/>
      <c r="E162" s="1223"/>
      <c r="F162" s="1223"/>
      <c r="G162" s="1235"/>
      <c r="H162" s="1235"/>
      <c r="I162" s="1235"/>
      <c r="J162" s="1235"/>
      <c r="K162" s="1235"/>
      <c r="L162" s="1238"/>
      <c r="M162" s="1293"/>
      <c r="N162" s="561" t="s">
        <v>170</v>
      </c>
      <c r="O162" s="152"/>
      <c r="P162" s="562" t="str">
        <f>IFERROR(VLOOKUP(K161,【参考】数式用!$A$5:$J$27,MATCH(O162,【参考】数式用!$B$4:$J$4,0)+1,0),"")</f>
        <v/>
      </c>
      <c r="Q162" s="152"/>
      <c r="R162" s="562" t="str">
        <f>IFERROR(VLOOKUP(K161,【参考】数式用!$A$5:$J$27,MATCH(Q162,【参考】数式用!$B$4:$J$4,0)+1,0),"")</f>
        <v/>
      </c>
      <c r="S162" s="173" t="s">
        <v>19</v>
      </c>
      <c r="T162" s="563">
        <v>6</v>
      </c>
      <c r="U162" s="174" t="s">
        <v>10</v>
      </c>
      <c r="V162" s="109">
        <v>4</v>
      </c>
      <c r="W162" s="174" t="s">
        <v>45</v>
      </c>
      <c r="X162" s="563">
        <v>6</v>
      </c>
      <c r="Y162" s="174" t="s">
        <v>10</v>
      </c>
      <c r="Z162" s="109">
        <v>5</v>
      </c>
      <c r="AA162" s="174" t="s">
        <v>13</v>
      </c>
      <c r="AB162" s="564" t="s">
        <v>24</v>
      </c>
      <c r="AC162" s="565">
        <f t="shared" si="208"/>
        <v>2</v>
      </c>
      <c r="AD162" s="174" t="s">
        <v>38</v>
      </c>
      <c r="AE162" s="566" t="str">
        <f>IFERROR(ROUNDDOWN(ROUND(L161*R162,0)*M161,0)*AC162,"")</f>
        <v/>
      </c>
      <c r="AF162" s="567" t="str">
        <f>IFERROR(ROUNDDOWN(ROUND(L161*(R162-P162),0)*M161,0)*AC162,"")</f>
        <v/>
      </c>
      <c r="AG162" s="568"/>
      <c r="AH162" s="453"/>
      <c r="AI162" s="454"/>
      <c r="AJ162" s="455"/>
      <c r="AK162" s="456"/>
      <c r="AL162" s="457"/>
      <c r="AM162" s="458"/>
      <c r="AN162" s="569" t="str">
        <f t="shared" ref="AN162" si="213">IF(AP161="","",IF(OR(Z161=4,Z162=4,Z163=4),"！加算の要件上は問題ありませんが、算定期間の終わりが令和６年５月になっていません。区分変更の場合は、「基本情報入力シート」で同じ事業所を２行に分けて記入してください。",""))</f>
        <v/>
      </c>
      <c r="AO162" s="570"/>
      <c r="AP162" s="557" t="str">
        <f>IF(K161&lt;&gt;"","P列・R列に色付け","")</f>
        <v/>
      </c>
      <c r="AY162" s="543" t="str">
        <f>G161</f>
        <v/>
      </c>
    </row>
    <row r="163" spans="1:51" ht="32.1" customHeight="1" thickBot="1">
      <c r="A163" s="1227"/>
      <c r="B163" s="1224"/>
      <c r="C163" s="1224"/>
      <c r="D163" s="1224"/>
      <c r="E163" s="1224"/>
      <c r="F163" s="1224"/>
      <c r="G163" s="1236"/>
      <c r="H163" s="1236"/>
      <c r="I163" s="1236"/>
      <c r="J163" s="1236"/>
      <c r="K163" s="1236"/>
      <c r="L163" s="1239"/>
      <c r="M163" s="1294"/>
      <c r="N163" s="571" t="s">
        <v>140</v>
      </c>
      <c r="O163" s="155"/>
      <c r="P163" s="591" t="str">
        <f>IFERROR(VLOOKUP(K161,【参考】数式用!$A$5:$J$27,MATCH(O163,【参考】数式用!$B$4:$J$4,0)+1,0),"")</f>
        <v/>
      </c>
      <c r="Q163" s="153"/>
      <c r="R163" s="572" t="str">
        <f>IFERROR(VLOOKUP(K161,【参考】数式用!$A$5:$J$27,MATCH(Q163,【参考】数式用!$B$4:$J$4,0)+1,0),"")</f>
        <v/>
      </c>
      <c r="S163" s="573" t="s">
        <v>19</v>
      </c>
      <c r="T163" s="574">
        <v>6</v>
      </c>
      <c r="U163" s="575" t="s">
        <v>10</v>
      </c>
      <c r="V163" s="110">
        <v>4</v>
      </c>
      <c r="W163" s="575" t="s">
        <v>45</v>
      </c>
      <c r="X163" s="574">
        <v>6</v>
      </c>
      <c r="Y163" s="575" t="s">
        <v>10</v>
      </c>
      <c r="Z163" s="110">
        <v>5</v>
      </c>
      <c r="AA163" s="575" t="s">
        <v>13</v>
      </c>
      <c r="AB163" s="576" t="s">
        <v>24</v>
      </c>
      <c r="AC163" s="577">
        <f t="shared" si="208"/>
        <v>2</v>
      </c>
      <c r="AD163" s="575" t="s">
        <v>38</v>
      </c>
      <c r="AE163" s="590" t="str">
        <f>IFERROR(ROUNDDOWN(ROUND(L161*R163,0)*M161,0)*AC163,"")</f>
        <v/>
      </c>
      <c r="AF163" s="579" t="str">
        <f>IFERROR(ROUNDDOWN(ROUND(L161*(R163-P163),0)*M161,0)*AC163,"")</f>
        <v/>
      </c>
      <c r="AG163" s="580">
        <f t="shared" si="156"/>
        <v>0</v>
      </c>
      <c r="AH163" s="459"/>
      <c r="AI163" s="460"/>
      <c r="AJ163" s="461"/>
      <c r="AK163" s="462"/>
      <c r="AL163" s="463"/>
      <c r="AM163" s="464"/>
      <c r="AN163" s="581" t="str">
        <f t="shared" ref="AN163" si="214">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82" t="str">
        <f>IF(K161&lt;&gt;"","P列・R列に色付け","")</f>
        <v/>
      </c>
      <c r="AQ163" s="583"/>
      <c r="AR163" s="583"/>
      <c r="AX163" s="584"/>
      <c r="AY163" s="543" t="str">
        <f>G161</f>
        <v/>
      </c>
    </row>
    <row r="164" spans="1:51" ht="32.1" customHeight="1">
      <c r="A164" s="1225">
        <v>51</v>
      </c>
      <c r="B164" s="1222" t="str">
        <f>IF(基本情報入力シート!C104="","",基本情報入力シート!C104)</f>
        <v/>
      </c>
      <c r="C164" s="1222"/>
      <c r="D164" s="1222"/>
      <c r="E164" s="1222"/>
      <c r="F164" s="1222"/>
      <c r="G164" s="1234" t="str">
        <f>IF(基本情報入力シート!M104="","",基本情報入力シート!M104)</f>
        <v/>
      </c>
      <c r="H164" s="1234" t="str">
        <f>IF(基本情報入力シート!R104="","",基本情報入力シート!R104)</f>
        <v/>
      </c>
      <c r="I164" s="1234" t="str">
        <f>IF(基本情報入力シート!W104="","",基本情報入力シート!W104)</f>
        <v/>
      </c>
      <c r="J164" s="1234" t="str">
        <f>IF(基本情報入力シート!X104="","",基本情報入力シート!X104)</f>
        <v/>
      </c>
      <c r="K164" s="1234" t="str">
        <f>IF(基本情報入力シート!Y104="","",基本情報入力シート!Y104)</f>
        <v/>
      </c>
      <c r="L164" s="1237" t="str">
        <f>IF(基本情報入力シート!AB104="","",基本情報入力シート!AB104)</f>
        <v/>
      </c>
      <c r="M164" s="1292" t="str">
        <f>IF(基本情報入力シート!AC104="","",基本情報入力シート!AC104)</f>
        <v/>
      </c>
      <c r="N164" s="547" t="s">
        <v>183</v>
      </c>
      <c r="O164" s="151"/>
      <c r="P164" s="548" t="str">
        <f>IFERROR(VLOOKUP(K164,【参考】数式用!$A$5:$J$27,MATCH(O164,【参考】数式用!$B$4:$J$4,0)+1,0),"")</f>
        <v/>
      </c>
      <c r="Q164" s="151"/>
      <c r="R164" s="548" t="str">
        <f>IFERROR(VLOOKUP(K164,【参考】数式用!$A$5:$J$27,MATCH(Q164,【参考】数式用!$B$4:$J$4,0)+1,0),"")</f>
        <v/>
      </c>
      <c r="S164" s="549" t="s">
        <v>19</v>
      </c>
      <c r="T164" s="550">
        <v>6</v>
      </c>
      <c r="U164" s="202" t="s">
        <v>10</v>
      </c>
      <c r="V164" s="71">
        <v>4</v>
      </c>
      <c r="W164" s="202" t="s">
        <v>45</v>
      </c>
      <c r="X164" s="550">
        <v>6</v>
      </c>
      <c r="Y164" s="202" t="s">
        <v>10</v>
      </c>
      <c r="Z164" s="71">
        <v>5</v>
      </c>
      <c r="AA164" s="202" t="s">
        <v>13</v>
      </c>
      <c r="AB164" s="551" t="s">
        <v>24</v>
      </c>
      <c r="AC164" s="552">
        <f t="shared" si="208"/>
        <v>2</v>
      </c>
      <c r="AD164" s="202" t="s">
        <v>38</v>
      </c>
      <c r="AE164" s="553" t="str">
        <f>IFERROR(ROUNDDOWN(ROUND(L164*R164,0)*M164,0)*AC164,"")</f>
        <v/>
      </c>
      <c r="AF164" s="554" t="str">
        <f>IFERROR(ROUNDDOWN(ROUND(L164*(R164-P164),0)*M164,0)*AC164,"")</f>
        <v/>
      </c>
      <c r="AG164" s="555"/>
      <c r="AH164" s="465"/>
      <c r="AI164" s="473"/>
      <c r="AJ164" s="470"/>
      <c r="AK164" s="471"/>
      <c r="AL164" s="451"/>
      <c r="AM164" s="452"/>
      <c r="AN164" s="556" t="str">
        <f t="shared" ref="AN164" si="215">IF(AP164="","",IF(R164&lt;P164,"！加算の要件上は問題ありませんが、令和６年３月と比較して４・５月に加算率が下がる計画になっています。",""))</f>
        <v/>
      </c>
      <c r="AP164" s="557" t="str">
        <f>IF(K164&lt;&gt;"","P列・R列に色付け","")</f>
        <v/>
      </c>
      <c r="AQ164" s="558" t="str">
        <f>IFERROR(VLOOKUP(K164,【参考】数式用!$AJ$2:$AK$24,2,FALSE),"")</f>
        <v/>
      </c>
      <c r="AR164" s="560" t="str">
        <f>Q164&amp;Q165&amp;Q166</f>
        <v/>
      </c>
      <c r="AS164" s="558" t="str">
        <f t="shared" ref="AS164" si="216">IF(AG166&lt;&gt;0,IF(AH166="○","入力済","未入力"),"")</f>
        <v/>
      </c>
      <c r="AT164" s="559" t="str">
        <f>IF(OR(Q164="処遇加算Ⅰ",Q164="処遇加算Ⅱ"),IF(OR(AI164="○",AI164="令和６年度中に満たす"),"入力済","未入力"),"")</f>
        <v/>
      </c>
      <c r="AU164" s="560" t="str">
        <f>IF(Q164="処遇加算Ⅲ",IF(AJ164="○","入力済","未入力"),"")</f>
        <v/>
      </c>
      <c r="AV164" s="558" t="str">
        <f>IF(Q164="処遇加算Ⅰ",IF(OR(AK164="○",AK164="令和６年度中に満たす"),"入力済","未入力"),"")</f>
        <v/>
      </c>
      <c r="AW164" s="558"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43" t="str">
        <f>IF(Q165="特定加算Ⅰ",IF(AM165="","未入力","入力済"),"")</f>
        <v/>
      </c>
      <c r="AY164" s="543" t="str">
        <f>G164</f>
        <v/>
      </c>
    </row>
    <row r="165" spans="1:51" ht="32.1" customHeight="1">
      <c r="A165" s="1226"/>
      <c r="B165" s="1223"/>
      <c r="C165" s="1223"/>
      <c r="D165" s="1223"/>
      <c r="E165" s="1223"/>
      <c r="F165" s="1223"/>
      <c r="G165" s="1235"/>
      <c r="H165" s="1235"/>
      <c r="I165" s="1235"/>
      <c r="J165" s="1235"/>
      <c r="K165" s="1235"/>
      <c r="L165" s="1238"/>
      <c r="M165" s="1293"/>
      <c r="N165" s="561" t="s">
        <v>170</v>
      </c>
      <c r="O165" s="152"/>
      <c r="P165" s="562" t="str">
        <f>IFERROR(VLOOKUP(K164,【参考】数式用!$A$5:$J$27,MATCH(O165,【参考】数式用!$B$4:$J$4,0)+1,0),"")</f>
        <v/>
      </c>
      <c r="Q165" s="152"/>
      <c r="R165" s="562" t="str">
        <f>IFERROR(VLOOKUP(K164,【参考】数式用!$A$5:$J$27,MATCH(Q165,【参考】数式用!$B$4:$J$4,0)+1,0),"")</f>
        <v/>
      </c>
      <c r="S165" s="173" t="s">
        <v>19</v>
      </c>
      <c r="T165" s="563">
        <v>6</v>
      </c>
      <c r="U165" s="174" t="s">
        <v>10</v>
      </c>
      <c r="V165" s="109">
        <v>4</v>
      </c>
      <c r="W165" s="174" t="s">
        <v>45</v>
      </c>
      <c r="X165" s="563">
        <v>6</v>
      </c>
      <c r="Y165" s="174" t="s">
        <v>10</v>
      </c>
      <c r="Z165" s="109">
        <v>5</v>
      </c>
      <c r="AA165" s="174" t="s">
        <v>13</v>
      </c>
      <c r="AB165" s="564" t="s">
        <v>24</v>
      </c>
      <c r="AC165" s="565">
        <f t="shared" si="208"/>
        <v>2</v>
      </c>
      <c r="AD165" s="174" t="s">
        <v>38</v>
      </c>
      <c r="AE165" s="566" t="str">
        <f>IFERROR(ROUNDDOWN(ROUND(L164*R165,0)*M164,0)*AC165,"")</f>
        <v/>
      </c>
      <c r="AF165" s="567" t="str">
        <f>IFERROR(ROUNDDOWN(ROUND(L164*(R165-P165),0)*M164,0)*AC165,"")</f>
        <v/>
      </c>
      <c r="AG165" s="568"/>
      <c r="AH165" s="453"/>
      <c r="AI165" s="454"/>
      <c r="AJ165" s="455"/>
      <c r="AK165" s="456"/>
      <c r="AL165" s="457"/>
      <c r="AM165" s="458"/>
      <c r="AN165" s="569" t="str">
        <f t="shared" ref="AN165" si="217">IF(AP164="","",IF(OR(Z164=4,Z165=4,Z166=4),"！加算の要件上は問題ありませんが、算定期間の終わりが令和６年５月になっていません。区分変更の場合は、「基本情報入力シート」で同じ事業所を２行に分けて記入してください。",""))</f>
        <v/>
      </c>
      <c r="AO165" s="570"/>
      <c r="AP165" s="557" t="str">
        <f>IF(K164&lt;&gt;"","P列・R列に色付け","")</f>
        <v/>
      </c>
      <c r="AY165" s="543" t="str">
        <f>G164</f>
        <v/>
      </c>
    </row>
    <row r="166" spans="1:51" ht="32.1" customHeight="1" thickBot="1">
      <c r="A166" s="1227"/>
      <c r="B166" s="1224"/>
      <c r="C166" s="1224"/>
      <c r="D166" s="1224"/>
      <c r="E166" s="1224"/>
      <c r="F166" s="1224"/>
      <c r="G166" s="1236"/>
      <c r="H166" s="1236"/>
      <c r="I166" s="1236"/>
      <c r="J166" s="1236"/>
      <c r="K166" s="1236"/>
      <c r="L166" s="1239"/>
      <c r="M166" s="1294"/>
      <c r="N166" s="571" t="s">
        <v>140</v>
      </c>
      <c r="O166" s="155"/>
      <c r="P166" s="591" t="str">
        <f>IFERROR(VLOOKUP(K164,【参考】数式用!$A$5:$J$27,MATCH(O166,【参考】数式用!$B$4:$J$4,0)+1,0),"")</f>
        <v/>
      </c>
      <c r="Q166" s="153"/>
      <c r="R166" s="572" t="str">
        <f>IFERROR(VLOOKUP(K164,【参考】数式用!$A$5:$J$27,MATCH(Q166,【参考】数式用!$B$4:$J$4,0)+1,0),"")</f>
        <v/>
      </c>
      <c r="S166" s="573" t="s">
        <v>19</v>
      </c>
      <c r="T166" s="574">
        <v>6</v>
      </c>
      <c r="U166" s="575" t="s">
        <v>10</v>
      </c>
      <c r="V166" s="110">
        <v>4</v>
      </c>
      <c r="W166" s="575" t="s">
        <v>45</v>
      </c>
      <c r="X166" s="574">
        <v>6</v>
      </c>
      <c r="Y166" s="575" t="s">
        <v>10</v>
      </c>
      <c r="Z166" s="110">
        <v>5</v>
      </c>
      <c r="AA166" s="575" t="s">
        <v>13</v>
      </c>
      <c r="AB166" s="576" t="s">
        <v>24</v>
      </c>
      <c r="AC166" s="577">
        <f t="shared" si="208"/>
        <v>2</v>
      </c>
      <c r="AD166" s="575" t="s">
        <v>38</v>
      </c>
      <c r="AE166" s="590" t="str">
        <f>IFERROR(ROUNDDOWN(ROUND(L164*R166,0)*M164,0)*AC166,"")</f>
        <v/>
      </c>
      <c r="AF166" s="579" t="str">
        <f>IFERROR(ROUNDDOWN(ROUND(L164*(R166-P166),0)*M164,0)*AC166,"")</f>
        <v/>
      </c>
      <c r="AG166" s="580">
        <f t="shared" si="156"/>
        <v>0</v>
      </c>
      <c r="AH166" s="459"/>
      <c r="AI166" s="460"/>
      <c r="AJ166" s="461"/>
      <c r="AK166" s="462"/>
      <c r="AL166" s="463"/>
      <c r="AM166" s="464"/>
      <c r="AN166" s="581" t="str">
        <f t="shared" ref="AN166" si="21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82" t="str">
        <f>IF(K164&lt;&gt;"","P列・R列に色付け","")</f>
        <v/>
      </c>
      <c r="AQ166" s="583"/>
      <c r="AR166" s="583"/>
      <c r="AX166" s="584"/>
      <c r="AY166" s="543" t="str">
        <f>G164</f>
        <v/>
      </c>
    </row>
    <row r="167" spans="1:51" ht="32.1" customHeight="1">
      <c r="A167" s="1225">
        <v>52</v>
      </c>
      <c r="B167" s="1222" t="str">
        <f>IF(基本情報入力シート!C105="","",基本情報入力シート!C105)</f>
        <v/>
      </c>
      <c r="C167" s="1222"/>
      <c r="D167" s="1222"/>
      <c r="E167" s="1222"/>
      <c r="F167" s="1222"/>
      <c r="G167" s="1234" t="str">
        <f>IF(基本情報入力シート!M105="","",基本情報入力シート!M105)</f>
        <v/>
      </c>
      <c r="H167" s="1234" t="str">
        <f>IF(基本情報入力シート!R105="","",基本情報入力シート!R105)</f>
        <v/>
      </c>
      <c r="I167" s="1234" t="str">
        <f>IF(基本情報入力シート!W105="","",基本情報入力シート!W105)</f>
        <v/>
      </c>
      <c r="J167" s="1234" t="str">
        <f>IF(基本情報入力シート!X105="","",基本情報入力シート!X105)</f>
        <v/>
      </c>
      <c r="K167" s="1234" t="str">
        <f>IF(基本情報入力シート!Y105="","",基本情報入力シート!Y105)</f>
        <v/>
      </c>
      <c r="L167" s="1237" t="str">
        <f>IF(基本情報入力シート!AB105="","",基本情報入力シート!AB105)</f>
        <v/>
      </c>
      <c r="M167" s="1292" t="str">
        <f>IF(基本情報入力シート!AC105="","",基本情報入力シート!AC105)</f>
        <v/>
      </c>
      <c r="N167" s="547" t="s">
        <v>183</v>
      </c>
      <c r="O167" s="151"/>
      <c r="P167" s="548" t="str">
        <f>IFERROR(VLOOKUP(K167,【参考】数式用!$A$5:$J$27,MATCH(O167,【参考】数式用!$B$4:$J$4,0)+1,0),"")</f>
        <v/>
      </c>
      <c r="Q167" s="151"/>
      <c r="R167" s="548" t="str">
        <f>IFERROR(VLOOKUP(K167,【参考】数式用!$A$5:$J$27,MATCH(Q167,【参考】数式用!$B$4:$J$4,0)+1,0),"")</f>
        <v/>
      </c>
      <c r="S167" s="549" t="s">
        <v>19</v>
      </c>
      <c r="T167" s="550">
        <v>6</v>
      </c>
      <c r="U167" s="202" t="s">
        <v>10</v>
      </c>
      <c r="V167" s="71">
        <v>4</v>
      </c>
      <c r="W167" s="202" t="s">
        <v>45</v>
      </c>
      <c r="X167" s="550">
        <v>6</v>
      </c>
      <c r="Y167" s="202" t="s">
        <v>10</v>
      </c>
      <c r="Z167" s="71">
        <v>5</v>
      </c>
      <c r="AA167" s="202" t="s">
        <v>13</v>
      </c>
      <c r="AB167" s="551" t="s">
        <v>24</v>
      </c>
      <c r="AC167" s="552">
        <f t="shared" si="208"/>
        <v>2</v>
      </c>
      <c r="AD167" s="202" t="s">
        <v>38</v>
      </c>
      <c r="AE167" s="553" t="str">
        <f>IFERROR(ROUNDDOWN(ROUND(L167*R167,0)*M167,0)*AC167,"")</f>
        <v/>
      </c>
      <c r="AF167" s="554" t="str">
        <f>IFERROR(ROUNDDOWN(ROUND(L167*(R167-P167),0)*M167,0)*AC167,"")</f>
        <v/>
      </c>
      <c r="AG167" s="555"/>
      <c r="AH167" s="465"/>
      <c r="AI167" s="473"/>
      <c r="AJ167" s="470"/>
      <c r="AK167" s="471"/>
      <c r="AL167" s="451"/>
      <c r="AM167" s="452"/>
      <c r="AN167" s="556" t="str">
        <f t="shared" ref="AN167" si="219">IF(AP167="","",IF(R167&lt;P167,"！加算の要件上は問題ありませんが、令和６年３月と比較して４・５月に加算率が下がる計画になっています。",""))</f>
        <v/>
      </c>
      <c r="AP167" s="557" t="str">
        <f>IF(K167&lt;&gt;"","P列・R列に色付け","")</f>
        <v/>
      </c>
      <c r="AQ167" s="558" t="str">
        <f>IFERROR(VLOOKUP(K167,【参考】数式用!$AJ$2:$AK$24,2,FALSE),"")</f>
        <v/>
      </c>
      <c r="AR167" s="560" t="str">
        <f>Q167&amp;Q168&amp;Q169</f>
        <v/>
      </c>
      <c r="AS167" s="558" t="str">
        <f t="shared" ref="AS167" si="220">IF(AG169&lt;&gt;0,IF(AH169="○","入力済","未入力"),"")</f>
        <v/>
      </c>
      <c r="AT167" s="559" t="str">
        <f>IF(OR(Q167="処遇加算Ⅰ",Q167="処遇加算Ⅱ"),IF(OR(AI167="○",AI167="令和６年度中に満たす"),"入力済","未入力"),"")</f>
        <v/>
      </c>
      <c r="AU167" s="560" t="str">
        <f>IF(Q167="処遇加算Ⅲ",IF(AJ167="○","入力済","未入力"),"")</f>
        <v/>
      </c>
      <c r="AV167" s="558" t="str">
        <f>IF(Q167="処遇加算Ⅰ",IF(OR(AK167="○",AK167="令和６年度中に満たす"),"入力済","未入力"),"")</f>
        <v/>
      </c>
      <c r="AW167" s="558"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43" t="str">
        <f>IF(Q168="特定加算Ⅰ",IF(AM168="","未入力","入力済"),"")</f>
        <v/>
      </c>
      <c r="AY167" s="543" t="str">
        <f>G167</f>
        <v/>
      </c>
    </row>
    <row r="168" spans="1:51" ht="32.1" customHeight="1">
      <c r="A168" s="1226"/>
      <c r="B168" s="1223"/>
      <c r="C168" s="1223"/>
      <c r="D168" s="1223"/>
      <c r="E168" s="1223"/>
      <c r="F168" s="1223"/>
      <c r="G168" s="1235"/>
      <c r="H168" s="1235"/>
      <c r="I168" s="1235"/>
      <c r="J168" s="1235"/>
      <c r="K168" s="1235"/>
      <c r="L168" s="1238"/>
      <c r="M168" s="1293"/>
      <c r="N168" s="561" t="s">
        <v>170</v>
      </c>
      <c r="O168" s="152"/>
      <c r="P168" s="562" t="str">
        <f>IFERROR(VLOOKUP(K167,【参考】数式用!$A$5:$J$27,MATCH(O168,【参考】数式用!$B$4:$J$4,0)+1,0),"")</f>
        <v/>
      </c>
      <c r="Q168" s="152"/>
      <c r="R168" s="562" t="str">
        <f>IFERROR(VLOOKUP(K167,【参考】数式用!$A$5:$J$27,MATCH(Q168,【参考】数式用!$B$4:$J$4,0)+1,0),"")</f>
        <v/>
      </c>
      <c r="S168" s="173" t="s">
        <v>19</v>
      </c>
      <c r="T168" s="563">
        <v>6</v>
      </c>
      <c r="U168" s="174" t="s">
        <v>10</v>
      </c>
      <c r="V168" s="109">
        <v>4</v>
      </c>
      <c r="W168" s="174" t="s">
        <v>45</v>
      </c>
      <c r="X168" s="563">
        <v>6</v>
      </c>
      <c r="Y168" s="174" t="s">
        <v>10</v>
      </c>
      <c r="Z168" s="109">
        <v>5</v>
      </c>
      <c r="AA168" s="174" t="s">
        <v>13</v>
      </c>
      <c r="AB168" s="564" t="s">
        <v>24</v>
      </c>
      <c r="AC168" s="565">
        <f t="shared" si="208"/>
        <v>2</v>
      </c>
      <c r="AD168" s="174" t="s">
        <v>38</v>
      </c>
      <c r="AE168" s="566" t="str">
        <f>IFERROR(ROUNDDOWN(ROUND(L167*R168,0)*M167,0)*AC168,"")</f>
        <v/>
      </c>
      <c r="AF168" s="567" t="str">
        <f>IFERROR(ROUNDDOWN(ROUND(L167*(R168-P168),0)*M167,0)*AC168,"")</f>
        <v/>
      </c>
      <c r="AG168" s="568"/>
      <c r="AH168" s="453"/>
      <c r="AI168" s="454"/>
      <c r="AJ168" s="455"/>
      <c r="AK168" s="456"/>
      <c r="AL168" s="457"/>
      <c r="AM168" s="458"/>
      <c r="AN168" s="569" t="str">
        <f t="shared" ref="AN168" si="221">IF(AP167="","",IF(OR(Z167=4,Z168=4,Z169=4),"！加算の要件上は問題ありませんが、算定期間の終わりが令和６年５月になっていません。区分変更の場合は、「基本情報入力シート」で同じ事業所を２行に分けて記入してください。",""))</f>
        <v/>
      </c>
      <c r="AO168" s="570"/>
      <c r="AP168" s="557" t="str">
        <f>IF(K167&lt;&gt;"","P列・R列に色付け","")</f>
        <v/>
      </c>
      <c r="AY168" s="543" t="str">
        <f>G167</f>
        <v/>
      </c>
    </row>
    <row r="169" spans="1:51" ht="32.1" customHeight="1" thickBot="1">
      <c r="A169" s="1227"/>
      <c r="B169" s="1224"/>
      <c r="C169" s="1224"/>
      <c r="D169" s="1224"/>
      <c r="E169" s="1224"/>
      <c r="F169" s="1224"/>
      <c r="G169" s="1236"/>
      <c r="H169" s="1236"/>
      <c r="I169" s="1236"/>
      <c r="J169" s="1236"/>
      <c r="K169" s="1236"/>
      <c r="L169" s="1239"/>
      <c r="M169" s="1294"/>
      <c r="N169" s="571" t="s">
        <v>140</v>
      </c>
      <c r="O169" s="155"/>
      <c r="P169" s="591" t="str">
        <f>IFERROR(VLOOKUP(K167,【参考】数式用!$A$5:$J$27,MATCH(O169,【参考】数式用!$B$4:$J$4,0)+1,0),"")</f>
        <v/>
      </c>
      <c r="Q169" s="153"/>
      <c r="R169" s="572" t="str">
        <f>IFERROR(VLOOKUP(K167,【参考】数式用!$A$5:$J$27,MATCH(Q169,【参考】数式用!$B$4:$J$4,0)+1,0),"")</f>
        <v/>
      </c>
      <c r="S169" s="573" t="s">
        <v>19</v>
      </c>
      <c r="T169" s="574">
        <v>6</v>
      </c>
      <c r="U169" s="575" t="s">
        <v>10</v>
      </c>
      <c r="V169" s="110">
        <v>4</v>
      </c>
      <c r="W169" s="575" t="s">
        <v>45</v>
      </c>
      <c r="X169" s="574">
        <v>6</v>
      </c>
      <c r="Y169" s="575" t="s">
        <v>10</v>
      </c>
      <c r="Z169" s="110">
        <v>5</v>
      </c>
      <c r="AA169" s="575" t="s">
        <v>13</v>
      </c>
      <c r="AB169" s="576" t="s">
        <v>24</v>
      </c>
      <c r="AC169" s="577">
        <f t="shared" si="208"/>
        <v>2</v>
      </c>
      <c r="AD169" s="575" t="s">
        <v>38</v>
      </c>
      <c r="AE169" s="590" t="str">
        <f>IFERROR(ROUNDDOWN(ROUND(L167*R169,0)*M167,0)*AC169,"")</f>
        <v/>
      </c>
      <c r="AF169" s="579" t="str">
        <f>IFERROR(ROUNDDOWN(ROUND(L167*(R169-P169),0)*M167,0)*AC169,"")</f>
        <v/>
      </c>
      <c r="AG169" s="580">
        <f t="shared" si="156"/>
        <v>0</v>
      </c>
      <c r="AH169" s="459"/>
      <c r="AI169" s="460"/>
      <c r="AJ169" s="461"/>
      <c r="AK169" s="462"/>
      <c r="AL169" s="463"/>
      <c r="AM169" s="464"/>
      <c r="AN169" s="581" t="str">
        <f t="shared" ref="AN169" si="222">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82" t="str">
        <f>IF(K167&lt;&gt;"","P列・R列に色付け","")</f>
        <v/>
      </c>
      <c r="AQ169" s="583"/>
      <c r="AR169" s="583"/>
      <c r="AX169" s="584"/>
      <c r="AY169" s="543" t="str">
        <f>G167</f>
        <v/>
      </c>
    </row>
    <row r="170" spans="1:51" ht="32.1" customHeight="1">
      <c r="A170" s="1225">
        <v>53</v>
      </c>
      <c r="B170" s="1222" t="str">
        <f>IF(基本情報入力シート!C106="","",基本情報入力シート!C106)</f>
        <v/>
      </c>
      <c r="C170" s="1222"/>
      <c r="D170" s="1222"/>
      <c r="E170" s="1222"/>
      <c r="F170" s="1222"/>
      <c r="G170" s="1234" t="str">
        <f>IF(基本情報入力シート!M106="","",基本情報入力シート!M106)</f>
        <v/>
      </c>
      <c r="H170" s="1234" t="str">
        <f>IF(基本情報入力シート!R106="","",基本情報入力シート!R106)</f>
        <v/>
      </c>
      <c r="I170" s="1234" t="str">
        <f>IF(基本情報入力シート!W106="","",基本情報入力シート!W106)</f>
        <v/>
      </c>
      <c r="J170" s="1234" t="str">
        <f>IF(基本情報入力シート!X106="","",基本情報入力シート!X106)</f>
        <v/>
      </c>
      <c r="K170" s="1234" t="str">
        <f>IF(基本情報入力シート!Y106="","",基本情報入力シート!Y106)</f>
        <v/>
      </c>
      <c r="L170" s="1237" t="str">
        <f>IF(基本情報入力シート!AB106="","",基本情報入力シート!AB106)</f>
        <v/>
      </c>
      <c r="M170" s="1292" t="str">
        <f>IF(基本情報入力シート!AC106="","",基本情報入力シート!AC106)</f>
        <v/>
      </c>
      <c r="N170" s="547" t="s">
        <v>183</v>
      </c>
      <c r="O170" s="151"/>
      <c r="P170" s="548" t="str">
        <f>IFERROR(VLOOKUP(K170,【参考】数式用!$A$5:$J$27,MATCH(O170,【参考】数式用!$B$4:$J$4,0)+1,0),"")</f>
        <v/>
      </c>
      <c r="Q170" s="151"/>
      <c r="R170" s="548" t="str">
        <f>IFERROR(VLOOKUP(K170,【参考】数式用!$A$5:$J$27,MATCH(Q170,【参考】数式用!$B$4:$J$4,0)+1,0),"")</f>
        <v/>
      </c>
      <c r="S170" s="549" t="s">
        <v>19</v>
      </c>
      <c r="T170" s="550">
        <v>6</v>
      </c>
      <c r="U170" s="202" t="s">
        <v>10</v>
      </c>
      <c r="V170" s="71">
        <v>4</v>
      </c>
      <c r="W170" s="202" t="s">
        <v>45</v>
      </c>
      <c r="X170" s="550">
        <v>6</v>
      </c>
      <c r="Y170" s="202" t="s">
        <v>10</v>
      </c>
      <c r="Z170" s="71">
        <v>5</v>
      </c>
      <c r="AA170" s="202" t="s">
        <v>13</v>
      </c>
      <c r="AB170" s="551" t="s">
        <v>24</v>
      </c>
      <c r="AC170" s="552">
        <f t="shared" si="208"/>
        <v>2</v>
      </c>
      <c r="AD170" s="202" t="s">
        <v>38</v>
      </c>
      <c r="AE170" s="553" t="str">
        <f>IFERROR(ROUNDDOWN(ROUND(L170*R170,0)*M170,0)*AC170,"")</f>
        <v/>
      </c>
      <c r="AF170" s="554" t="str">
        <f>IFERROR(ROUNDDOWN(ROUND(L170*(R170-P170),0)*M170,0)*AC170,"")</f>
        <v/>
      </c>
      <c r="AG170" s="555"/>
      <c r="AH170" s="465"/>
      <c r="AI170" s="473"/>
      <c r="AJ170" s="470"/>
      <c r="AK170" s="471"/>
      <c r="AL170" s="451"/>
      <c r="AM170" s="452"/>
      <c r="AN170" s="556" t="str">
        <f t="shared" ref="AN170" si="223">IF(AP170="","",IF(R170&lt;P170,"！加算の要件上は問題ありませんが、令和６年３月と比較して４・５月に加算率が下がる計画になっています。",""))</f>
        <v/>
      </c>
      <c r="AP170" s="557" t="str">
        <f>IF(K170&lt;&gt;"","P列・R列に色付け","")</f>
        <v/>
      </c>
      <c r="AQ170" s="558" t="str">
        <f>IFERROR(VLOOKUP(K170,【参考】数式用!$AJ$2:$AK$24,2,FALSE),"")</f>
        <v/>
      </c>
      <c r="AR170" s="560" t="str">
        <f>Q170&amp;Q171&amp;Q172</f>
        <v/>
      </c>
      <c r="AS170" s="558" t="str">
        <f t="shared" ref="AS170" si="224">IF(AG172&lt;&gt;0,IF(AH172="○","入力済","未入力"),"")</f>
        <v/>
      </c>
      <c r="AT170" s="559" t="str">
        <f>IF(OR(Q170="処遇加算Ⅰ",Q170="処遇加算Ⅱ"),IF(OR(AI170="○",AI170="令和６年度中に満たす"),"入力済","未入力"),"")</f>
        <v/>
      </c>
      <c r="AU170" s="560" t="str">
        <f>IF(Q170="処遇加算Ⅲ",IF(AJ170="○","入力済","未入力"),"")</f>
        <v/>
      </c>
      <c r="AV170" s="558" t="str">
        <f>IF(Q170="処遇加算Ⅰ",IF(OR(AK170="○",AK170="令和６年度中に満たす"),"入力済","未入力"),"")</f>
        <v/>
      </c>
      <c r="AW170" s="558"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43" t="str">
        <f>IF(Q171="特定加算Ⅰ",IF(AM171="","未入力","入力済"),"")</f>
        <v/>
      </c>
      <c r="AY170" s="543" t="str">
        <f>G170</f>
        <v/>
      </c>
    </row>
    <row r="171" spans="1:51" ht="32.1" customHeight="1">
      <c r="A171" s="1226"/>
      <c r="B171" s="1223"/>
      <c r="C171" s="1223"/>
      <c r="D171" s="1223"/>
      <c r="E171" s="1223"/>
      <c r="F171" s="1223"/>
      <c r="G171" s="1235"/>
      <c r="H171" s="1235"/>
      <c r="I171" s="1235"/>
      <c r="J171" s="1235"/>
      <c r="K171" s="1235"/>
      <c r="L171" s="1238"/>
      <c r="M171" s="1293"/>
      <c r="N171" s="561" t="s">
        <v>170</v>
      </c>
      <c r="O171" s="152"/>
      <c r="P171" s="562" t="str">
        <f>IFERROR(VLOOKUP(K170,【参考】数式用!$A$5:$J$27,MATCH(O171,【参考】数式用!$B$4:$J$4,0)+1,0),"")</f>
        <v/>
      </c>
      <c r="Q171" s="152"/>
      <c r="R171" s="562" t="str">
        <f>IFERROR(VLOOKUP(K170,【参考】数式用!$A$5:$J$27,MATCH(Q171,【参考】数式用!$B$4:$J$4,0)+1,0),"")</f>
        <v/>
      </c>
      <c r="S171" s="173" t="s">
        <v>19</v>
      </c>
      <c r="T171" s="563">
        <v>6</v>
      </c>
      <c r="U171" s="174" t="s">
        <v>10</v>
      </c>
      <c r="V171" s="109">
        <v>4</v>
      </c>
      <c r="W171" s="174" t="s">
        <v>45</v>
      </c>
      <c r="X171" s="563">
        <v>6</v>
      </c>
      <c r="Y171" s="174" t="s">
        <v>10</v>
      </c>
      <c r="Z171" s="109">
        <v>5</v>
      </c>
      <c r="AA171" s="174" t="s">
        <v>13</v>
      </c>
      <c r="AB171" s="564" t="s">
        <v>24</v>
      </c>
      <c r="AC171" s="565">
        <f t="shared" si="208"/>
        <v>2</v>
      </c>
      <c r="AD171" s="174" t="s">
        <v>38</v>
      </c>
      <c r="AE171" s="566" t="str">
        <f>IFERROR(ROUNDDOWN(ROUND(L170*R171,0)*M170,0)*AC171,"")</f>
        <v/>
      </c>
      <c r="AF171" s="567" t="str">
        <f>IFERROR(ROUNDDOWN(ROUND(L170*(R171-P171),0)*M170,0)*AC171,"")</f>
        <v/>
      </c>
      <c r="AG171" s="568"/>
      <c r="AH171" s="453"/>
      <c r="AI171" s="454"/>
      <c r="AJ171" s="455"/>
      <c r="AK171" s="456"/>
      <c r="AL171" s="457"/>
      <c r="AM171" s="458"/>
      <c r="AN171" s="569" t="str">
        <f t="shared" ref="AN171" si="225">IF(AP170="","",IF(OR(Z170=4,Z171=4,Z172=4),"！加算の要件上は問題ありませんが、算定期間の終わりが令和６年５月になっていません。区分変更の場合は、「基本情報入力シート」で同じ事業所を２行に分けて記入してください。",""))</f>
        <v/>
      </c>
      <c r="AO171" s="570"/>
      <c r="AP171" s="557" t="str">
        <f>IF(K170&lt;&gt;"","P列・R列に色付け","")</f>
        <v/>
      </c>
      <c r="AY171" s="543" t="str">
        <f>G170</f>
        <v/>
      </c>
    </row>
    <row r="172" spans="1:51" ht="32.1" customHeight="1" thickBot="1">
      <c r="A172" s="1227"/>
      <c r="B172" s="1224"/>
      <c r="C172" s="1224"/>
      <c r="D172" s="1224"/>
      <c r="E172" s="1224"/>
      <c r="F172" s="1224"/>
      <c r="G172" s="1236"/>
      <c r="H172" s="1236"/>
      <c r="I172" s="1236"/>
      <c r="J172" s="1236"/>
      <c r="K172" s="1236"/>
      <c r="L172" s="1239"/>
      <c r="M172" s="1294"/>
      <c r="N172" s="571" t="s">
        <v>140</v>
      </c>
      <c r="O172" s="155"/>
      <c r="P172" s="591" t="str">
        <f>IFERROR(VLOOKUP(K170,【参考】数式用!$A$5:$J$27,MATCH(O172,【参考】数式用!$B$4:$J$4,0)+1,0),"")</f>
        <v/>
      </c>
      <c r="Q172" s="153"/>
      <c r="R172" s="572" t="str">
        <f>IFERROR(VLOOKUP(K170,【参考】数式用!$A$5:$J$27,MATCH(Q172,【参考】数式用!$B$4:$J$4,0)+1,0),"")</f>
        <v/>
      </c>
      <c r="S172" s="573" t="s">
        <v>19</v>
      </c>
      <c r="T172" s="574">
        <v>6</v>
      </c>
      <c r="U172" s="575" t="s">
        <v>10</v>
      </c>
      <c r="V172" s="110">
        <v>4</v>
      </c>
      <c r="W172" s="575" t="s">
        <v>45</v>
      </c>
      <c r="X172" s="574">
        <v>6</v>
      </c>
      <c r="Y172" s="575" t="s">
        <v>10</v>
      </c>
      <c r="Z172" s="110">
        <v>5</v>
      </c>
      <c r="AA172" s="575" t="s">
        <v>13</v>
      </c>
      <c r="AB172" s="576" t="s">
        <v>24</v>
      </c>
      <c r="AC172" s="577">
        <f t="shared" si="208"/>
        <v>2</v>
      </c>
      <c r="AD172" s="575" t="s">
        <v>38</v>
      </c>
      <c r="AE172" s="590" t="str">
        <f>IFERROR(ROUNDDOWN(ROUND(L170*R172,0)*M170,0)*AC172,"")</f>
        <v/>
      </c>
      <c r="AF172" s="579" t="str">
        <f>IFERROR(ROUNDDOWN(ROUND(L170*(R172-P172),0)*M170,0)*AC172,"")</f>
        <v/>
      </c>
      <c r="AG172" s="580">
        <f t="shared" si="156"/>
        <v>0</v>
      </c>
      <c r="AH172" s="459"/>
      <c r="AI172" s="460"/>
      <c r="AJ172" s="461"/>
      <c r="AK172" s="462"/>
      <c r="AL172" s="463"/>
      <c r="AM172" s="464"/>
      <c r="AN172" s="581" t="str">
        <f t="shared" ref="AN172" si="226">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82" t="str">
        <f>IF(K170&lt;&gt;"","P列・R列に色付け","")</f>
        <v/>
      </c>
      <c r="AQ172" s="583"/>
      <c r="AR172" s="583"/>
      <c r="AX172" s="584"/>
      <c r="AY172" s="543" t="str">
        <f>G170</f>
        <v/>
      </c>
    </row>
    <row r="173" spans="1:51" ht="32.1" customHeight="1">
      <c r="A173" s="1225">
        <v>54</v>
      </c>
      <c r="B173" s="1222" t="str">
        <f>IF(基本情報入力シート!C107="","",基本情報入力シート!C107)</f>
        <v/>
      </c>
      <c r="C173" s="1222"/>
      <c r="D173" s="1222"/>
      <c r="E173" s="1222"/>
      <c r="F173" s="1222"/>
      <c r="G173" s="1234" t="str">
        <f>IF(基本情報入力シート!M107="","",基本情報入力シート!M107)</f>
        <v/>
      </c>
      <c r="H173" s="1234" t="str">
        <f>IF(基本情報入力シート!R107="","",基本情報入力シート!R107)</f>
        <v/>
      </c>
      <c r="I173" s="1234" t="str">
        <f>IF(基本情報入力シート!W107="","",基本情報入力シート!W107)</f>
        <v/>
      </c>
      <c r="J173" s="1234" t="str">
        <f>IF(基本情報入力シート!X107="","",基本情報入力シート!X107)</f>
        <v/>
      </c>
      <c r="K173" s="1234" t="str">
        <f>IF(基本情報入力シート!Y107="","",基本情報入力シート!Y107)</f>
        <v/>
      </c>
      <c r="L173" s="1237" t="str">
        <f>IF(基本情報入力シート!AB107="","",基本情報入力シート!AB107)</f>
        <v/>
      </c>
      <c r="M173" s="1292" t="str">
        <f>IF(基本情報入力シート!AC107="","",基本情報入力シート!AC107)</f>
        <v/>
      </c>
      <c r="N173" s="547" t="s">
        <v>183</v>
      </c>
      <c r="O173" s="151"/>
      <c r="P173" s="548" t="str">
        <f>IFERROR(VLOOKUP(K173,【参考】数式用!$A$5:$J$27,MATCH(O173,【参考】数式用!$B$4:$J$4,0)+1,0),"")</f>
        <v/>
      </c>
      <c r="Q173" s="151"/>
      <c r="R173" s="548" t="str">
        <f>IFERROR(VLOOKUP(K173,【参考】数式用!$A$5:$J$27,MATCH(Q173,【参考】数式用!$B$4:$J$4,0)+1,0),"")</f>
        <v/>
      </c>
      <c r="S173" s="549" t="s">
        <v>19</v>
      </c>
      <c r="T173" s="550">
        <v>6</v>
      </c>
      <c r="U173" s="202" t="s">
        <v>10</v>
      </c>
      <c r="V173" s="71">
        <v>4</v>
      </c>
      <c r="W173" s="202" t="s">
        <v>45</v>
      </c>
      <c r="X173" s="550">
        <v>6</v>
      </c>
      <c r="Y173" s="202" t="s">
        <v>10</v>
      </c>
      <c r="Z173" s="71">
        <v>5</v>
      </c>
      <c r="AA173" s="202" t="s">
        <v>13</v>
      </c>
      <c r="AB173" s="551" t="s">
        <v>24</v>
      </c>
      <c r="AC173" s="552">
        <f t="shared" si="208"/>
        <v>2</v>
      </c>
      <c r="AD173" s="202" t="s">
        <v>38</v>
      </c>
      <c r="AE173" s="553" t="str">
        <f>IFERROR(ROUNDDOWN(ROUND(L173*R173,0)*M173,0)*AC173,"")</f>
        <v/>
      </c>
      <c r="AF173" s="554" t="str">
        <f>IFERROR(ROUNDDOWN(ROUND(L173*(R173-P173),0)*M173,0)*AC173,"")</f>
        <v/>
      </c>
      <c r="AG173" s="555"/>
      <c r="AH173" s="465"/>
      <c r="AI173" s="473"/>
      <c r="AJ173" s="470"/>
      <c r="AK173" s="471"/>
      <c r="AL173" s="451"/>
      <c r="AM173" s="452"/>
      <c r="AN173" s="556" t="str">
        <f t="shared" ref="AN173" si="227">IF(AP173="","",IF(R173&lt;P173,"！加算の要件上は問題ありませんが、令和６年３月と比較して４・５月に加算率が下がる計画になっています。",""))</f>
        <v/>
      </c>
      <c r="AP173" s="557" t="str">
        <f>IF(K173&lt;&gt;"","P列・R列に色付け","")</f>
        <v/>
      </c>
      <c r="AQ173" s="558" t="str">
        <f>IFERROR(VLOOKUP(K173,【参考】数式用!$AJ$2:$AK$24,2,FALSE),"")</f>
        <v/>
      </c>
      <c r="AR173" s="560" t="str">
        <f>Q173&amp;Q174&amp;Q175</f>
        <v/>
      </c>
      <c r="AS173" s="558" t="str">
        <f t="shared" ref="AS173" si="228">IF(AG175&lt;&gt;0,IF(AH175="○","入力済","未入力"),"")</f>
        <v/>
      </c>
      <c r="AT173" s="559" t="str">
        <f>IF(OR(Q173="処遇加算Ⅰ",Q173="処遇加算Ⅱ"),IF(OR(AI173="○",AI173="令和６年度中に満たす"),"入力済","未入力"),"")</f>
        <v/>
      </c>
      <c r="AU173" s="560" t="str">
        <f>IF(Q173="処遇加算Ⅲ",IF(AJ173="○","入力済","未入力"),"")</f>
        <v/>
      </c>
      <c r="AV173" s="558" t="str">
        <f>IF(Q173="処遇加算Ⅰ",IF(OR(AK173="○",AK173="令和６年度中に満たす"),"入力済","未入力"),"")</f>
        <v/>
      </c>
      <c r="AW173" s="558"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43" t="str">
        <f>IF(Q174="特定加算Ⅰ",IF(AM174="","未入力","入力済"),"")</f>
        <v/>
      </c>
      <c r="AY173" s="543" t="str">
        <f>G173</f>
        <v/>
      </c>
    </row>
    <row r="174" spans="1:51" ht="32.1" customHeight="1">
      <c r="A174" s="1226"/>
      <c r="B174" s="1223"/>
      <c r="C174" s="1223"/>
      <c r="D174" s="1223"/>
      <c r="E174" s="1223"/>
      <c r="F174" s="1223"/>
      <c r="G174" s="1235"/>
      <c r="H174" s="1235"/>
      <c r="I174" s="1235"/>
      <c r="J174" s="1235"/>
      <c r="K174" s="1235"/>
      <c r="L174" s="1238"/>
      <c r="M174" s="1293"/>
      <c r="N174" s="561" t="s">
        <v>170</v>
      </c>
      <c r="O174" s="152"/>
      <c r="P174" s="562" t="str">
        <f>IFERROR(VLOOKUP(K173,【参考】数式用!$A$5:$J$27,MATCH(O174,【参考】数式用!$B$4:$J$4,0)+1,0),"")</f>
        <v/>
      </c>
      <c r="Q174" s="152"/>
      <c r="R174" s="562" t="str">
        <f>IFERROR(VLOOKUP(K173,【参考】数式用!$A$5:$J$27,MATCH(Q174,【参考】数式用!$B$4:$J$4,0)+1,0),"")</f>
        <v/>
      </c>
      <c r="S174" s="173" t="s">
        <v>19</v>
      </c>
      <c r="T174" s="563">
        <v>6</v>
      </c>
      <c r="U174" s="174" t="s">
        <v>10</v>
      </c>
      <c r="V174" s="109">
        <v>4</v>
      </c>
      <c r="W174" s="174" t="s">
        <v>45</v>
      </c>
      <c r="X174" s="563">
        <v>6</v>
      </c>
      <c r="Y174" s="174" t="s">
        <v>10</v>
      </c>
      <c r="Z174" s="109">
        <v>5</v>
      </c>
      <c r="AA174" s="174" t="s">
        <v>13</v>
      </c>
      <c r="AB174" s="564" t="s">
        <v>24</v>
      </c>
      <c r="AC174" s="565">
        <f t="shared" si="208"/>
        <v>2</v>
      </c>
      <c r="AD174" s="174" t="s">
        <v>38</v>
      </c>
      <c r="AE174" s="566" t="str">
        <f>IFERROR(ROUNDDOWN(ROUND(L173*R174,0)*M173,0)*AC174,"")</f>
        <v/>
      </c>
      <c r="AF174" s="567" t="str">
        <f>IFERROR(ROUNDDOWN(ROUND(L173*(R174-P174),0)*M173,0)*AC174,"")</f>
        <v/>
      </c>
      <c r="AG174" s="568"/>
      <c r="AH174" s="453"/>
      <c r="AI174" s="454"/>
      <c r="AJ174" s="455"/>
      <c r="AK174" s="456"/>
      <c r="AL174" s="457"/>
      <c r="AM174" s="458"/>
      <c r="AN174" s="569" t="str">
        <f t="shared" ref="AN174" si="229">IF(AP173="","",IF(OR(Z173=4,Z174=4,Z175=4),"！加算の要件上は問題ありませんが、算定期間の終わりが令和６年５月になっていません。区分変更の場合は、「基本情報入力シート」で同じ事業所を２行に分けて記入してください。",""))</f>
        <v/>
      </c>
      <c r="AO174" s="570"/>
      <c r="AP174" s="557" t="str">
        <f>IF(K173&lt;&gt;"","P列・R列に色付け","")</f>
        <v/>
      </c>
      <c r="AY174" s="543" t="str">
        <f>G173</f>
        <v/>
      </c>
    </row>
    <row r="175" spans="1:51" ht="32.1" customHeight="1" thickBot="1">
      <c r="A175" s="1227"/>
      <c r="B175" s="1224"/>
      <c r="C175" s="1224"/>
      <c r="D175" s="1224"/>
      <c r="E175" s="1224"/>
      <c r="F175" s="1224"/>
      <c r="G175" s="1236"/>
      <c r="H175" s="1236"/>
      <c r="I175" s="1236"/>
      <c r="J175" s="1236"/>
      <c r="K175" s="1236"/>
      <c r="L175" s="1239"/>
      <c r="M175" s="1294"/>
      <c r="N175" s="571" t="s">
        <v>140</v>
      </c>
      <c r="O175" s="155"/>
      <c r="P175" s="591" t="str">
        <f>IFERROR(VLOOKUP(K173,【参考】数式用!$A$5:$J$27,MATCH(O175,【参考】数式用!$B$4:$J$4,0)+1,0),"")</f>
        <v/>
      </c>
      <c r="Q175" s="153"/>
      <c r="R175" s="572" t="str">
        <f>IFERROR(VLOOKUP(K173,【参考】数式用!$A$5:$J$27,MATCH(Q175,【参考】数式用!$B$4:$J$4,0)+1,0),"")</f>
        <v/>
      </c>
      <c r="S175" s="573" t="s">
        <v>19</v>
      </c>
      <c r="T175" s="574">
        <v>6</v>
      </c>
      <c r="U175" s="575" t="s">
        <v>10</v>
      </c>
      <c r="V175" s="110">
        <v>4</v>
      </c>
      <c r="W175" s="575" t="s">
        <v>45</v>
      </c>
      <c r="X175" s="574">
        <v>6</v>
      </c>
      <c r="Y175" s="575" t="s">
        <v>10</v>
      </c>
      <c r="Z175" s="110">
        <v>5</v>
      </c>
      <c r="AA175" s="575" t="s">
        <v>13</v>
      </c>
      <c r="AB175" s="576" t="s">
        <v>24</v>
      </c>
      <c r="AC175" s="577">
        <f t="shared" si="208"/>
        <v>2</v>
      </c>
      <c r="AD175" s="575" t="s">
        <v>38</v>
      </c>
      <c r="AE175" s="590" t="str">
        <f>IFERROR(ROUNDDOWN(ROUND(L173*R175,0)*M173,0)*AC175,"")</f>
        <v/>
      </c>
      <c r="AF175" s="579" t="str">
        <f>IFERROR(ROUNDDOWN(ROUND(L173*(R175-P175),0)*M173,0)*AC175,"")</f>
        <v/>
      </c>
      <c r="AG175" s="580">
        <f t="shared" si="156"/>
        <v>0</v>
      </c>
      <c r="AH175" s="459"/>
      <c r="AI175" s="460"/>
      <c r="AJ175" s="461"/>
      <c r="AK175" s="462"/>
      <c r="AL175" s="463"/>
      <c r="AM175" s="464"/>
      <c r="AN175" s="581" t="str">
        <f t="shared" ref="AN175" si="230">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82" t="str">
        <f>IF(K173&lt;&gt;"","P列・R列に色付け","")</f>
        <v/>
      </c>
      <c r="AQ175" s="583"/>
      <c r="AR175" s="583"/>
      <c r="AX175" s="584"/>
      <c r="AY175" s="543" t="str">
        <f>G173</f>
        <v/>
      </c>
    </row>
    <row r="176" spans="1:51" ht="32.1" customHeight="1">
      <c r="A176" s="1225">
        <v>55</v>
      </c>
      <c r="B176" s="1222" t="str">
        <f>IF(基本情報入力シート!C108="","",基本情報入力シート!C108)</f>
        <v/>
      </c>
      <c r="C176" s="1222"/>
      <c r="D176" s="1222"/>
      <c r="E176" s="1222"/>
      <c r="F176" s="1222"/>
      <c r="G176" s="1234" t="str">
        <f>IF(基本情報入力シート!M108="","",基本情報入力シート!M108)</f>
        <v/>
      </c>
      <c r="H176" s="1234" t="str">
        <f>IF(基本情報入力シート!R108="","",基本情報入力シート!R108)</f>
        <v/>
      </c>
      <c r="I176" s="1234" t="str">
        <f>IF(基本情報入力シート!W108="","",基本情報入力シート!W108)</f>
        <v/>
      </c>
      <c r="J176" s="1234" t="str">
        <f>IF(基本情報入力シート!X108="","",基本情報入力シート!X108)</f>
        <v/>
      </c>
      <c r="K176" s="1234" t="str">
        <f>IF(基本情報入力シート!Y108="","",基本情報入力シート!Y108)</f>
        <v/>
      </c>
      <c r="L176" s="1237" t="str">
        <f>IF(基本情報入力シート!AB108="","",基本情報入力シート!AB108)</f>
        <v/>
      </c>
      <c r="M176" s="1292" t="str">
        <f>IF(基本情報入力シート!AC108="","",基本情報入力シート!AC108)</f>
        <v/>
      </c>
      <c r="N176" s="547" t="s">
        <v>183</v>
      </c>
      <c r="O176" s="151"/>
      <c r="P176" s="548" t="str">
        <f>IFERROR(VLOOKUP(K176,【参考】数式用!$A$5:$J$27,MATCH(O176,【参考】数式用!$B$4:$J$4,0)+1,0),"")</f>
        <v/>
      </c>
      <c r="Q176" s="151"/>
      <c r="R176" s="548" t="str">
        <f>IFERROR(VLOOKUP(K176,【参考】数式用!$A$5:$J$27,MATCH(Q176,【参考】数式用!$B$4:$J$4,0)+1,0),"")</f>
        <v/>
      </c>
      <c r="S176" s="549" t="s">
        <v>19</v>
      </c>
      <c r="T176" s="550">
        <v>6</v>
      </c>
      <c r="U176" s="202" t="s">
        <v>10</v>
      </c>
      <c r="V176" s="71">
        <v>4</v>
      </c>
      <c r="W176" s="202" t="s">
        <v>45</v>
      </c>
      <c r="X176" s="550">
        <v>6</v>
      </c>
      <c r="Y176" s="202" t="s">
        <v>10</v>
      </c>
      <c r="Z176" s="71">
        <v>5</v>
      </c>
      <c r="AA176" s="202" t="s">
        <v>13</v>
      </c>
      <c r="AB176" s="551" t="s">
        <v>24</v>
      </c>
      <c r="AC176" s="552">
        <f t="shared" si="208"/>
        <v>2</v>
      </c>
      <c r="AD176" s="202" t="s">
        <v>38</v>
      </c>
      <c r="AE176" s="553" t="str">
        <f>IFERROR(ROUNDDOWN(ROUND(L176*R176,0)*M176,0)*AC176,"")</f>
        <v/>
      </c>
      <c r="AF176" s="554" t="str">
        <f>IFERROR(ROUNDDOWN(ROUND(L176*(R176-P176),0)*M176,0)*AC176,"")</f>
        <v/>
      </c>
      <c r="AG176" s="555"/>
      <c r="AH176" s="465"/>
      <c r="AI176" s="473"/>
      <c r="AJ176" s="470"/>
      <c r="AK176" s="471"/>
      <c r="AL176" s="451"/>
      <c r="AM176" s="452"/>
      <c r="AN176" s="556" t="str">
        <f t="shared" ref="AN176" si="231">IF(AP176="","",IF(R176&lt;P176,"！加算の要件上は問題ありませんが、令和６年３月と比較して４・５月に加算率が下がる計画になっています。",""))</f>
        <v/>
      </c>
      <c r="AP176" s="557" t="str">
        <f>IF(K176&lt;&gt;"","P列・R列に色付け","")</f>
        <v/>
      </c>
      <c r="AQ176" s="558" t="str">
        <f>IFERROR(VLOOKUP(K176,【参考】数式用!$AJ$2:$AK$24,2,FALSE),"")</f>
        <v/>
      </c>
      <c r="AR176" s="560" t="str">
        <f>Q176&amp;Q177&amp;Q178</f>
        <v/>
      </c>
      <c r="AS176" s="558" t="str">
        <f t="shared" ref="AS176" si="232">IF(AG178&lt;&gt;0,IF(AH178="○","入力済","未入力"),"")</f>
        <v/>
      </c>
      <c r="AT176" s="559" t="str">
        <f>IF(OR(Q176="処遇加算Ⅰ",Q176="処遇加算Ⅱ"),IF(OR(AI176="○",AI176="令和６年度中に満たす"),"入力済","未入力"),"")</f>
        <v/>
      </c>
      <c r="AU176" s="560" t="str">
        <f>IF(Q176="処遇加算Ⅲ",IF(AJ176="○","入力済","未入力"),"")</f>
        <v/>
      </c>
      <c r="AV176" s="558" t="str">
        <f>IF(Q176="処遇加算Ⅰ",IF(OR(AK176="○",AK176="令和６年度中に満たす"),"入力済","未入力"),"")</f>
        <v/>
      </c>
      <c r="AW176" s="558"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43" t="str">
        <f>IF(Q177="特定加算Ⅰ",IF(AM177="","未入力","入力済"),"")</f>
        <v/>
      </c>
      <c r="AY176" s="543" t="str">
        <f>G176</f>
        <v/>
      </c>
    </row>
    <row r="177" spans="1:51" ht="32.1" customHeight="1">
      <c r="A177" s="1226"/>
      <c r="B177" s="1223"/>
      <c r="C177" s="1223"/>
      <c r="D177" s="1223"/>
      <c r="E177" s="1223"/>
      <c r="F177" s="1223"/>
      <c r="G177" s="1235"/>
      <c r="H177" s="1235"/>
      <c r="I177" s="1235"/>
      <c r="J177" s="1235"/>
      <c r="K177" s="1235"/>
      <c r="L177" s="1238"/>
      <c r="M177" s="1293"/>
      <c r="N177" s="561" t="s">
        <v>170</v>
      </c>
      <c r="O177" s="152"/>
      <c r="P177" s="562" t="str">
        <f>IFERROR(VLOOKUP(K176,【参考】数式用!$A$5:$J$27,MATCH(O177,【参考】数式用!$B$4:$J$4,0)+1,0),"")</f>
        <v/>
      </c>
      <c r="Q177" s="152"/>
      <c r="R177" s="562" t="str">
        <f>IFERROR(VLOOKUP(K176,【参考】数式用!$A$5:$J$27,MATCH(Q177,【参考】数式用!$B$4:$J$4,0)+1,0),"")</f>
        <v/>
      </c>
      <c r="S177" s="173" t="s">
        <v>19</v>
      </c>
      <c r="T177" s="563">
        <v>6</v>
      </c>
      <c r="U177" s="174" t="s">
        <v>10</v>
      </c>
      <c r="V177" s="109">
        <v>4</v>
      </c>
      <c r="W177" s="174" t="s">
        <v>45</v>
      </c>
      <c r="X177" s="563">
        <v>6</v>
      </c>
      <c r="Y177" s="174" t="s">
        <v>10</v>
      </c>
      <c r="Z177" s="109">
        <v>5</v>
      </c>
      <c r="AA177" s="174" t="s">
        <v>13</v>
      </c>
      <c r="AB177" s="564" t="s">
        <v>24</v>
      </c>
      <c r="AC177" s="565">
        <f t="shared" si="208"/>
        <v>2</v>
      </c>
      <c r="AD177" s="174" t="s">
        <v>38</v>
      </c>
      <c r="AE177" s="566" t="str">
        <f>IFERROR(ROUNDDOWN(ROUND(L176*R177,0)*M176,0)*AC177,"")</f>
        <v/>
      </c>
      <c r="AF177" s="567" t="str">
        <f>IFERROR(ROUNDDOWN(ROUND(L176*(R177-P177),0)*M176,0)*AC177,"")</f>
        <v/>
      </c>
      <c r="AG177" s="568"/>
      <c r="AH177" s="453"/>
      <c r="AI177" s="454"/>
      <c r="AJ177" s="455"/>
      <c r="AK177" s="456"/>
      <c r="AL177" s="457"/>
      <c r="AM177" s="458"/>
      <c r="AN177" s="569" t="str">
        <f t="shared" ref="AN177" si="233">IF(AP176="","",IF(OR(Z176=4,Z177=4,Z178=4),"！加算の要件上は問題ありませんが、算定期間の終わりが令和６年５月になっていません。区分変更の場合は、「基本情報入力シート」で同じ事業所を２行に分けて記入してください。",""))</f>
        <v/>
      </c>
      <c r="AO177" s="570"/>
      <c r="AP177" s="557" t="str">
        <f>IF(K176&lt;&gt;"","P列・R列に色付け","")</f>
        <v/>
      </c>
      <c r="AY177" s="543" t="str">
        <f>G176</f>
        <v/>
      </c>
    </row>
    <row r="178" spans="1:51" ht="32.1" customHeight="1" thickBot="1">
      <c r="A178" s="1227"/>
      <c r="B178" s="1224"/>
      <c r="C178" s="1224"/>
      <c r="D178" s="1224"/>
      <c r="E178" s="1224"/>
      <c r="F178" s="1224"/>
      <c r="G178" s="1236"/>
      <c r="H178" s="1236"/>
      <c r="I178" s="1236"/>
      <c r="J178" s="1236"/>
      <c r="K178" s="1236"/>
      <c r="L178" s="1239"/>
      <c r="M178" s="1294"/>
      <c r="N178" s="571" t="s">
        <v>140</v>
      </c>
      <c r="O178" s="155"/>
      <c r="P178" s="591" t="str">
        <f>IFERROR(VLOOKUP(K176,【参考】数式用!$A$5:$J$27,MATCH(O178,【参考】数式用!$B$4:$J$4,0)+1,0),"")</f>
        <v/>
      </c>
      <c r="Q178" s="153"/>
      <c r="R178" s="572" t="str">
        <f>IFERROR(VLOOKUP(K176,【参考】数式用!$A$5:$J$27,MATCH(Q178,【参考】数式用!$B$4:$J$4,0)+1,0),"")</f>
        <v/>
      </c>
      <c r="S178" s="573" t="s">
        <v>19</v>
      </c>
      <c r="T178" s="574">
        <v>6</v>
      </c>
      <c r="U178" s="575" t="s">
        <v>10</v>
      </c>
      <c r="V178" s="110">
        <v>4</v>
      </c>
      <c r="W178" s="575" t="s">
        <v>45</v>
      </c>
      <c r="X178" s="574">
        <v>6</v>
      </c>
      <c r="Y178" s="575" t="s">
        <v>10</v>
      </c>
      <c r="Z178" s="110">
        <v>5</v>
      </c>
      <c r="AA178" s="575" t="s">
        <v>13</v>
      </c>
      <c r="AB178" s="576" t="s">
        <v>24</v>
      </c>
      <c r="AC178" s="577">
        <f t="shared" si="208"/>
        <v>2</v>
      </c>
      <c r="AD178" s="575" t="s">
        <v>38</v>
      </c>
      <c r="AE178" s="590" t="str">
        <f>IFERROR(ROUNDDOWN(ROUND(L176*R178,0)*M176,0)*AC178,"")</f>
        <v/>
      </c>
      <c r="AF178" s="579" t="str">
        <f>IFERROR(ROUNDDOWN(ROUND(L176*(R178-P178),0)*M176,0)*AC178,"")</f>
        <v/>
      </c>
      <c r="AG178" s="580">
        <f t="shared" si="156"/>
        <v>0</v>
      </c>
      <c r="AH178" s="459"/>
      <c r="AI178" s="460"/>
      <c r="AJ178" s="461"/>
      <c r="AK178" s="462"/>
      <c r="AL178" s="463"/>
      <c r="AM178" s="464"/>
      <c r="AN178" s="581" t="str">
        <f t="shared" ref="AN178" si="234">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82" t="str">
        <f>IF(K176&lt;&gt;"","P列・R列に色付け","")</f>
        <v/>
      </c>
      <c r="AQ178" s="583"/>
      <c r="AR178" s="583"/>
      <c r="AX178" s="584"/>
      <c r="AY178" s="543" t="str">
        <f>G176</f>
        <v/>
      </c>
    </row>
    <row r="179" spans="1:51" ht="32.1" customHeight="1">
      <c r="A179" s="1225">
        <v>56</v>
      </c>
      <c r="B179" s="1222" t="str">
        <f>IF(基本情報入力シート!C109="","",基本情報入力シート!C109)</f>
        <v/>
      </c>
      <c r="C179" s="1222"/>
      <c r="D179" s="1222"/>
      <c r="E179" s="1222"/>
      <c r="F179" s="1222"/>
      <c r="G179" s="1234" t="str">
        <f>IF(基本情報入力シート!M109="","",基本情報入力シート!M109)</f>
        <v/>
      </c>
      <c r="H179" s="1234" t="str">
        <f>IF(基本情報入力シート!R109="","",基本情報入力シート!R109)</f>
        <v/>
      </c>
      <c r="I179" s="1234" t="str">
        <f>IF(基本情報入力シート!W109="","",基本情報入力シート!W109)</f>
        <v/>
      </c>
      <c r="J179" s="1234" t="str">
        <f>IF(基本情報入力シート!X109="","",基本情報入力シート!X109)</f>
        <v/>
      </c>
      <c r="K179" s="1234" t="str">
        <f>IF(基本情報入力シート!Y109="","",基本情報入力シート!Y109)</f>
        <v/>
      </c>
      <c r="L179" s="1237" t="str">
        <f>IF(基本情報入力シート!AB109="","",基本情報入力シート!AB109)</f>
        <v/>
      </c>
      <c r="M179" s="1292" t="str">
        <f>IF(基本情報入力シート!AC109="","",基本情報入力シート!AC109)</f>
        <v/>
      </c>
      <c r="N179" s="547" t="s">
        <v>183</v>
      </c>
      <c r="O179" s="151"/>
      <c r="P179" s="548" t="str">
        <f>IFERROR(VLOOKUP(K179,【参考】数式用!$A$5:$J$27,MATCH(O179,【参考】数式用!$B$4:$J$4,0)+1,0),"")</f>
        <v/>
      </c>
      <c r="Q179" s="151"/>
      <c r="R179" s="548" t="str">
        <f>IFERROR(VLOOKUP(K179,【参考】数式用!$A$5:$J$27,MATCH(Q179,【参考】数式用!$B$4:$J$4,0)+1,0),"")</f>
        <v/>
      </c>
      <c r="S179" s="549" t="s">
        <v>19</v>
      </c>
      <c r="T179" s="550">
        <v>6</v>
      </c>
      <c r="U179" s="202" t="s">
        <v>10</v>
      </c>
      <c r="V179" s="71">
        <v>4</v>
      </c>
      <c r="W179" s="202" t="s">
        <v>45</v>
      </c>
      <c r="X179" s="550">
        <v>6</v>
      </c>
      <c r="Y179" s="202" t="s">
        <v>10</v>
      </c>
      <c r="Z179" s="71">
        <v>5</v>
      </c>
      <c r="AA179" s="202" t="s">
        <v>13</v>
      </c>
      <c r="AB179" s="551" t="s">
        <v>24</v>
      </c>
      <c r="AC179" s="552">
        <f t="shared" si="208"/>
        <v>2</v>
      </c>
      <c r="AD179" s="202" t="s">
        <v>38</v>
      </c>
      <c r="AE179" s="553" t="str">
        <f>IFERROR(ROUNDDOWN(ROUND(L179*R179,0)*M179,0)*AC179,"")</f>
        <v/>
      </c>
      <c r="AF179" s="554" t="str">
        <f>IFERROR(ROUNDDOWN(ROUND(L179*(R179-P179),0)*M179,0)*AC179,"")</f>
        <v/>
      </c>
      <c r="AG179" s="555"/>
      <c r="AH179" s="465"/>
      <c r="AI179" s="473"/>
      <c r="AJ179" s="470"/>
      <c r="AK179" s="471"/>
      <c r="AL179" s="451"/>
      <c r="AM179" s="452"/>
      <c r="AN179" s="556" t="str">
        <f t="shared" ref="AN179" si="235">IF(AP179="","",IF(R179&lt;P179,"！加算の要件上は問題ありませんが、令和６年３月と比較して４・５月に加算率が下がる計画になっています。",""))</f>
        <v/>
      </c>
      <c r="AP179" s="557" t="str">
        <f>IF(K179&lt;&gt;"","P列・R列に色付け","")</f>
        <v/>
      </c>
      <c r="AQ179" s="558" t="str">
        <f>IFERROR(VLOOKUP(K179,【参考】数式用!$AJ$2:$AK$24,2,FALSE),"")</f>
        <v/>
      </c>
      <c r="AR179" s="560" t="str">
        <f>Q179&amp;Q180&amp;Q181</f>
        <v/>
      </c>
      <c r="AS179" s="558" t="str">
        <f t="shared" ref="AS179" si="236">IF(AG181&lt;&gt;0,IF(AH181="○","入力済","未入力"),"")</f>
        <v/>
      </c>
      <c r="AT179" s="559" t="str">
        <f>IF(OR(Q179="処遇加算Ⅰ",Q179="処遇加算Ⅱ"),IF(OR(AI179="○",AI179="令和６年度中に満たす"),"入力済","未入力"),"")</f>
        <v/>
      </c>
      <c r="AU179" s="560" t="str">
        <f>IF(Q179="処遇加算Ⅲ",IF(AJ179="○","入力済","未入力"),"")</f>
        <v/>
      </c>
      <c r="AV179" s="558" t="str">
        <f>IF(Q179="処遇加算Ⅰ",IF(OR(AK179="○",AK179="令和６年度中に満たす"),"入力済","未入力"),"")</f>
        <v/>
      </c>
      <c r="AW179" s="558"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43" t="str">
        <f>IF(Q180="特定加算Ⅰ",IF(AM180="","未入力","入力済"),"")</f>
        <v/>
      </c>
      <c r="AY179" s="543" t="str">
        <f>G179</f>
        <v/>
      </c>
    </row>
    <row r="180" spans="1:51" ht="32.1" customHeight="1">
      <c r="A180" s="1226"/>
      <c r="B180" s="1223"/>
      <c r="C180" s="1223"/>
      <c r="D180" s="1223"/>
      <c r="E180" s="1223"/>
      <c r="F180" s="1223"/>
      <c r="G180" s="1235"/>
      <c r="H180" s="1235"/>
      <c r="I180" s="1235"/>
      <c r="J180" s="1235"/>
      <c r="K180" s="1235"/>
      <c r="L180" s="1238"/>
      <c r="M180" s="1293"/>
      <c r="N180" s="561" t="s">
        <v>170</v>
      </c>
      <c r="O180" s="152"/>
      <c r="P180" s="562" t="str">
        <f>IFERROR(VLOOKUP(K179,【参考】数式用!$A$5:$J$27,MATCH(O180,【参考】数式用!$B$4:$J$4,0)+1,0),"")</f>
        <v/>
      </c>
      <c r="Q180" s="152"/>
      <c r="R180" s="562" t="str">
        <f>IFERROR(VLOOKUP(K179,【参考】数式用!$A$5:$J$27,MATCH(Q180,【参考】数式用!$B$4:$J$4,0)+1,0),"")</f>
        <v/>
      </c>
      <c r="S180" s="173" t="s">
        <v>19</v>
      </c>
      <c r="T180" s="563">
        <v>6</v>
      </c>
      <c r="U180" s="174" t="s">
        <v>10</v>
      </c>
      <c r="V180" s="109">
        <v>4</v>
      </c>
      <c r="W180" s="174" t="s">
        <v>45</v>
      </c>
      <c r="X180" s="563">
        <v>6</v>
      </c>
      <c r="Y180" s="174" t="s">
        <v>10</v>
      </c>
      <c r="Z180" s="109">
        <v>5</v>
      </c>
      <c r="AA180" s="174" t="s">
        <v>13</v>
      </c>
      <c r="AB180" s="564" t="s">
        <v>24</v>
      </c>
      <c r="AC180" s="565">
        <f t="shared" si="208"/>
        <v>2</v>
      </c>
      <c r="AD180" s="174" t="s">
        <v>38</v>
      </c>
      <c r="AE180" s="566" t="str">
        <f>IFERROR(ROUNDDOWN(ROUND(L179*R180,0)*M179,0)*AC180,"")</f>
        <v/>
      </c>
      <c r="AF180" s="567" t="str">
        <f>IFERROR(ROUNDDOWN(ROUND(L179*(R180-P180),0)*M179,0)*AC180,"")</f>
        <v/>
      </c>
      <c r="AG180" s="568"/>
      <c r="AH180" s="453"/>
      <c r="AI180" s="454"/>
      <c r="AJ180" s="455"/>
      <c r="AK180" s="456"/>
      <c r="AL180" s="457"/>
      <c r="AM180" s="458"/>
      <c r="AN180" s="569" t="str">
        <f t="shared" ref="AN180" si="237">IF(AP179="","",IF(OR(Z179=4,Z180=4,Z181=4),"！加算の要件上は問題ありませんが、算定期間の終わりが令和６年５月になっていません。区分変更の場合は、「基本情報入力シート」で同じ事業所を２行に分けて記入してください。",""))</f>
        <v/>
      </c>
      <c r="AO180" s="570"/>
      <c r="AP180" s="557" t="str">
        <f>IF(K179&lt;&gt;"","P列・R列に色付け","")</f>
        <v/>
      </c>
      <c r="AY180" s="543" t="str">
        <f>G179</f>
        <v/>
      </c>
    </row>
    <row r="181" spans="1:51" ht="32.1" customHeight="1" thickBot="1">
      <c r="A181" s="1227"/>
      <c r="B181" s="1224"/>
      <c r="C181" s="1224"/>
      <c r="D181" s="1224"/>
      <c r="E181" s="1224"/>
      <c r="F181" s="1224"/>
      <c r="G181" s="1236"/>
      <c r="H181" s="1236"/>
      <c r="I181" s="1236"/>
      <c r="J181" s="1236"/>
      <c r="K181" s="1236"/>
      <c r="L181" s="1239"/>
      <c r="M181" s="1294"/>
      <c r="N181" s="571" t="s">
        <v>140</v>
      </c>
      <c r="O181" s="155"/>
      <c r="P181" s="591" t="str">
        <f>IFERROR(VLOOKUP(K179,【参考】数式用!$A$5:$J$27,MATCH(O181,【参考】数式用!$B$4:$J$4,0)+1,0),"")</f>
        <v/>
      </c>
      <c r="Q181" s="153"/>
      <c r="R181" s="572" t="str">
        <f>IFERROR(VLOOKUP(K179,【参考】数式用!$A$5:$J$27,MATCH(Q181,【参考】数式用!$B$4:$J$4,0)+1,0),"")</f>
        <v/>
      </c>
      <c r="S181" s="573" t="s">
        <v>19</v>
      </c>
      <c r="T181" s="574">
        <v>6</v>
      </c>
      <c r="U181" s="575" t="s">
        <v>10</v>
      </c>
      <c r="V181" s="110">
        <v>4</v>
      </c>
      <c r="W181" s="575" t="s">
        <v>45</v>
      </c>
      <c r="X181" s="574">
        <v>6</v>
      </c>
      <c r="Y181" s="575" t="s">
        <v>10</v>
      </c>
      <c r="Z181" s="110">
        <v>5</v>
      </c>
      <c r="AA181" s="575" t="s">
        <v>13</v>
      </c>
      <c r="AB181" s="576" t="s">
        <v>24</v>
      </c>
      <c r="AC181" s="577">
        <f t="shared" si="208"/>
        <v>2</v>
      </c>
      <c r="AD181" s="575" t="s">
        <v>38</v>
      </c>
      <c r="AE181" s="590" t="str">
        <f>IFERROR(ROUNDDOWN(ROUND(L179*R181,0)*M179,0)*AC181,"")</f>
        <v/>
      </c>
      <c r="AF181" s="579" t="str">
        <f>IFERROR(ROUNDDOWN(ROUND(L179*(R181-P181),0)*M179,0)*AC181,"")</f>
        <v/>
      </c>
      <c r="AG181" s="580">
        <f t="shared" si="156"/>
        <v>0</v>
      </c>
      <c r="AH181" s="459"/>
      <c r="AI181" s="460"/>
      <c r="AJ181" s="461"/>
      <c r="AK181" s="462"/>
      <c r="AL181" s="463"/>
      <c r="AM181" s="464"/>
      <c r="AN181" s="581" t="str">
        <f t="shared" ref="AN181" si="238">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82" t="str">
        <f>IF(K179&lt;&gt;"","P列・R列に色付け","")</f>
        <v/>
      </c>
      <c r="AQ181" s="583"/>
      <c r="AR181" s="583"/>
      <c r="AX181" s="584"/>
      <c r="AY181" s="543" t="str">
        <f>G179</f>
        <v/>
      </c>
    </row>
    <row r="182" spans="1:51" ht="32.1" customHeight="1">
      <c r="A182" s="1225">
        <v>57</v>
      </c>
      <c r="B182" s="1222" t="str">
        <f>IF(基本情報入力シート!C110="","",基本情報入力シート!C110)</f>
        <v/>
      </c>
      <c r="C182" s="1222"/>
      <c r="D182" s="1222"/>
      <c r="E182" s="1222"/>
      <c r="F182" s="1222"/>
      <c r="G182" s="1234" t="str">
        <f>IF(基本情報入力シート!M110="","",基本情報入力シート!M110)</f>
        <v/>
      </c>
      <c r="H182" s="1234" t="str">
        <f>IF(基本情報入力シート!R110="","",基本情報入力シート!R110)</f>
        <v/>
      </c>
      <c r="I182" s="1234" t="str">
        <f>IF(基本情報入力シート!W110="","",基本情報入力シート!W110)</f>
        <v/>
      </c>
      <c r="J182" s="1234" t="str">
        <f>IF(基本情報入力シート!X110="","",基本情報入力シート!X110)</f>
        <v/>
      </c>
      <c r="K182" s="1234" t="str">
        <f>IF(基本情報入力シート!Y110="","",基本情報入力シート!Y110)</f>
        <v/>
      </c>
      <c r="L182" s="1237" t="str">
        <f>IF(基本情報入力シート!AB110="","",基本情報入力シート!AB110)</f>
        <v/>
      </c>
      <c r="M182" s="1292" t="str">
        <f>IF(基本情報入力シート!AC110="","",基本情報入力シート!AC110)</f>
        <v/>
      </c>
      <c r="N182" s="547" t="s">
        <v>183</v>
      </c>
      <c r="O182" s="151"/>
      <c r="P182" s="548" t="str">
        <f>IFERROR(VLOOKUP(K182,【参考】数式用!$A$5:$J$27,MATCH(O182,【参考】数式用!$B$4:$J$4,0)+1,0),"")</f>
        <v/>
      </c>
      <c r="Q182" s="151"/>
      <c r="R182" s="548" t="str">
        <f>IFERROR(VLOOKUP(K182,【参考】数式用!$A$5:$J$27,MATCH(Q182,【参考】数式用!$B$4:$J$4,0)+1,0),"")</f>
        <v/>
      </c>
      <c r="S182" s="549" t="s">
        <v>19</v>
      </c>
      <c r="T182" s="550">
        <v>6</v>
      </c>
      <c r="U182" s="202" t="s">
        <v>10</v>
      </c>
      <c r="V182" s="71">
        <v>4</v>
      </c>
      <c r="W182" s="202" t="s">
        <v>45</v>
      </c>
      <c r="X182" s="550">
        <v>6</v>
      </c>
      <c r="Y182" s="202" t="s">
        <v>10</v>
      </c>
      <c r="Z182" s="71">
        <v>5</v>
      </c>
      <c r="AA182" s="202" t="s">
        <v>13</v>
      </c>
      <c r="AB182" s="551" t="s">
        <v>24</v>
      </c>
      <c r="AC182" s="552">
        <f t="shared" si="208"/>
        <v>2</v>
      </c>
      <c r="AD182" s="202" t="s">
        <v>38</v>
      </c>
      <c r="AE182" s="553" t="str">
        <f>IFERROR(ROUNDDOWN(ROUND(L182*R182,0)*M182,0)*AC182,"")</f>
        <v/>
      </c>
      <c r="AF182" s="554" t="str">
        <f>IFERROR(ROUNDDOWN(ROUND(L182*(R182-P182),0)*M182,0)*AC182,"")</f>
        <v/>
      </c>
      <c r="AG182" s="555"/>
      <c r="AH182" s="465"/>
      <c r="AI182" s="473"/>
      <c r="AJ182" s="470"/>
      <c r="AK182" s="471"/>
      <c r="AL182" s="451"/>
      <c r="AM182" s="452"/>
      <c r="AN182" s="556" t="str">
        <f t="shared" ref="AN182" si="239">IF(AP182="","",IF(R182&lt;P182,"！加算の要件上は問題ありませんが、令和６年３月と比較して４・５月に加算率が下がる計画になっています。",""))</f>
        <v/>
      </c>
      <c r="AP182" s="557" t="str">
        <f>IF(K182&lt;&gt;"","P列・R列に色付け","")</f>
        <v/>
      </c>
      <c r="AQ182" s="558" t="str">
        <f>IFERROR(VLOOKUP(K182,【参考】数式用!$AJ$2:$AK$24,2,FALSE),"")</f>
        <v/>
      </c>
      <c r="AR182" s="560" t="str">
        <f>Q182&amp;Q183&amp;Q184</f>
        <v/>
      </c>
      <c r="AS182" s="558" t="str">
        <f t="shared" ref="AS182" si="240">IF(AG184&lt;&gt;0,IF(AH184="○","入力済","未入力"),"")</f>
        <v/>
      </c>
      <c r="AT182" s="559" t="str">
        <f>IF(OR(Q182="処遇加算Ⅰ",Q182="処遇加算Ⅱ"),IF(OR(AI182="○",AI182="令和６年度中に満たす"),"入力済","未入力"),"")</f>
        <v/>
      </c>
      <c r="AU182" s="560" t="str">
        <f>IF(Q182="処遇加算Ⅲ",IF(AJ182="○","入力済","未入力"),"")</f>
        <v/>
      </c>
      <c r="AV182" s="558" t="str">
        <f>IF(Q182="処遇加算Ⅰ",IF(OR(AK182="○",AK182="令和６年度中に満たす"),"入力済","未入力"),"")</f>
        <v/>
      </c>
      <c r="AW182" s="558"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43" t="str">
        <f>IF(Q183="特定加算Ⅰ",IF(AM183="","未入力","入力済"),"")</f>
        <v/>
      </c>
      <c r="AY182" s="543" t="str">
        <f>G182</f>
        <v/>
      </c>
    </row>
    <row r="183" spans="1:51" ht="32.1" customHeight="1">
      <c r="A183" s="1226"/>
      <c r="B183" s="1223"/>
      <c r="C183" s="1223"/>
      <c r="D183" s="1223"/>
      <c r="E183" s="1223"/>
      <c r="F183" s="1223"/>
      <c r="G183" s="1235"/>
      <c r="H183" s="1235"/>
      <c r="I183" s="1235"/>
      <c r="J183" s="1235"/>
      <c r="K183" s="1235"/>
      <c r="L183" s="1238"/>
      <c r="M183" s="1293"/>
      <c r="N183" s="561" t="s">
        <v>170</v>
      </c>
      <c r="O183" s="152"/>
      <c r="P183" s="562" t="str">
        <f>IFERROR(VLOOKUP(K182,【参考】数式用!$A$5:$J$27,MATCH(O183,【参考】数式用!$B$4:$J$4,0)+1,0),"")</f>
        <v/>
      </c>
      <c r="Q183" s="152"/>
      <c r="R183" s="562" t="str">
        <f>IFERROR(VLOOKUP(K182,【参考】数式用!$A$5:$J$27,MATCH(Q183,【参考】数式用!$B$4:$J$4,0)+1,0),"")</f>
        <v/>
      </c>
      <c r="S183" s="173" t="s">
        <v>19</v>
      </c>
      <c r="T183" s="563">
        <v>6</v>
      </c>
      <c r="U183" s="174" t="s">
        <v>10</v>
      </c>
      <c r="V183" s="109">
        <v>4</v>
      </c>
      <c r="W183" s="174" t="s">
        <v>45</v>
      </c>
      <c r="X183" s="563">
        <v>6</v>
      </c>
      <c r="Y183" s="174" t="s">
        <v>10</v>
      </c>
      <c r="Z183" s="109">
        <v>5</v>
      </c>
      <c r="AA183" s="174" t="s">
        <v>13</v>
      </c>
      <c r="AB183" s="564" t="s">
        <v>24</v>
      </c>
      <c r="AC183" s="565">
        <f t="shared" si="208"/>
        <v>2</v>
      </c>
      <c r="AD183" s="174" t="s">
        <v>38</v>
      </c>
      <c r="AE183" s="566" t="str">
        <f>IFERROR(ROUNDDOWN(ROUND(L182*R183,0)*M182,0)*AC183,"")</f>
        <v/>
      </c>
      <c r="AF183" s="567" t="str">
        <f>IFERROR(ROUNDDOWN(ROUND(L182*(R183-P183),0)*M182,0)*AC183,"")</f>
        <v/>
      </c>
      <c r="AG183" s="568"/>
      <c r="AH183" s="453"/>
      <c r="AI183" s="454"/>
      <c r="AJ183" s="455"/>
      <c r="AK183" s="456"/>
      <c r="AL183" s="457"/>
      <c r="AM183" s="458"/>
      <c r="AN183" s="569" t="str">
        <f t="shared" ref="AN183" si="241">IF(AP182="","",IF(OR(Z182=4,Z183=4,Z184=4),"！加算の要件上は問題ありませんが、算定期間の終わりが令和６年５月になっていません。区分変更の場合は、「基本情報入力シート」で同じ事業所を２行に分けて記入してください。",""))</f>
        <v/>
      </c>
      <c r="AO183" s="570"/>
      <c r="AP183" s="557" t="str">
        <f>IF(K182&lt;&gt;"","P列・R列に色付け","")</f>
        <v/>
      </c>
      <c r="AY183" s="543" t="str">
        <f>G182</f>
        <v/>
      </c>
    </row>
    <row r="184" spans="1:51" ht="32.1" customHeight="1" thickBot="1">
      <c r="A184" s="1227"/>
      <c r="B184" s="1224"/>
      <c r="C184" s="1224"/>
      <c r="D184" s="1224"/>
      <c r="E184" s="1224"/>
      <c r="F184" s="1224"/>
      <c r="G184" s="1236"/>
      <c r="H184" s="1236"/>
      <c r="I184" s="1236"/>
      <c r="J184" s="1236"/>
      <c r="K184" s="1236"/>
      <c r="L184" s="1239"/>
      <c r="M184" s="1294"/>
      <c r="N184" s="571" t="s">
        <v>140</v>
      </c>
      <c r="O184" s="155"/>
      <c r="P184" s="591" t="str">
        <f>IFERROR(VLOOKUP(K182,【参考】数式用!$A$5:$J$27,MATCH(O184,【参考】数式用!$B$4:$J$4,0)+1,0),"")</f>
        <v/>
      </c>
      <c r="Q184" s="153"/>
      <c r="R184" s="572" t="str">
        <f>IFERROR(VLOOKUP(K182,【参考】数式用!$A$5:$J$27,MATCH(Q184,【参考】数式用!$B$4:$J$4,0)+1,0),"")</f>
        <v/>
      </c>
      <c r="S184" s="573" t="s">
        <v>19</v>
      </c>
      <c r="T184" s="574">
        <v>6</v>
      </c>
      <c r="U184" s="575" t="s">
        <v>10</v>
      </c>
      <c r="V184" s="110">
        <v>4</v>
      </c>
      <c r="W184" s="575" t="s">
        <v>45</v>
      </c>
      <c r="X184" s="574">
        <v>6</v>
      </c>
      <c r="Y184" s="575" t="s">
        <v>10</v>
      </c>
      <c r="Z184" s="110">
        <v>5</v>
      </c>
      <c r="AA184" s="575" t="s">
        <v>13</v>
      </c>
      <c r="AB184" s="576" t="s">
        <v>24</v>
      </c>
      <c r="AC184" s="577">
        <f t="shared" si="208"/>
        <v>2</v>
      </c>
      <c r="AD184" s="575" t="s">
        <v>38</v>
      </c>
      <c r="AE184" s="590" t="str">
        <f>IFERROR(ROUNDDOWN(ROUND(L182*R184,0)*M182,0)*AC184,"")</f>
        <v/>
      </c>
      <c r="AF184" s="579" t="str">
        <f>IFERROR(ROUNDDOWN(ROUND(L182*(R184-P184),0)*M182,0)*AC184,"")</f>
        <v/>
      </c>
      <c r="AG184" s="580">
        <f t="shared" si="156"/>
        <v>0</v>
      </c>
      <c r="AH184" s="459"/>
      <c r="AI184" s="460"/>
      <c r="AJ184" s="461"/>
      <c r="AK184" s="462"/>
      <c r="AL184" s="463"/>
      <c r="AM184" s="464"/>
      <c r="AN184" s="581" t="str">
        <f t="shared" ref="AN184" si="242">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82" t="str">
        <f>IF(K182&lt;&gt;"","P列・R列に色付け","")</f>
        <v/>
      </c>
      <c r="AQ184" s="583"/>
      <c r="AR184" s="583"/>
      <c r="AX184" s="584"/>
      <c r="AY184" s="543" t="str">
        <f>G182</f>
        <v/>
      </c>
    </row>
    <row r="185" spans="1:51" ht="32.1" customHeight="1">
      <c r="A185" s="1225">
        <v>58</v>
      </c>
      <c r="B185" s="1222" t="str">
        <f>IF(基本情報入力シート!C111="","",基本情報入力シート!C111)</f>
        <v/>
      </c>
      <c r="C185" s="1222"/>
      <c r="D185" s="1222"/>
      <c r="E185" s="1222"/>
      <c r="F185" s="1222"/>
      <c r="G185" s="1234" t="str">
        <f>IF(基本情報入力シート!M111="","",基本情報入力シート!M111)</f>
        <v/>
      </c>
      <c r="H185" s="1234" t="str">
        <f>IF(基本情報入力シート!R111="","",基本情報入力シート!R111)</f>
        <v/>
      </c>
      <c r="I185" s="1234" t="str">
        <f>IF(基本情報入力シート!W111="","",基本情報入力シート!W111)</f>
        <v/>
      </c>
      <c r="J185" s="1234" t="str">
        <f>IF(基本情報入力シート!X111="","",基本情報入力シート!X111)</f>
        <v/>
      </c>
      <c r="K185" s="1234" t="str">
        <f>IF(基本情報入力シート!Y111="","",基本情報入力シート!Y111)</f>
        <v/>
      </c>
      <c r="L185" s="1237" t="str">
        <f>IF(基本情報入力シート!AB111="","",基本情報入力シート!AB111)</f>
        <v/>
      </c>
      <c r="M185" s="1292" t="str">
        <f>IF(基本情報入力シート!AC111="","",基本情報入力シート!AC111)</f>
        <v/>
      </c>
      <c r="N185" s="547" t="s">
        <v>183</v>
      </c>
      <c r="O185" s="151"/>
      <c r="P185" s="548" t="str">
        <f>IFERROR(VLOOKUP(K185,【参考】数式用!$A$5:$J$27,MATCH(O185,【参考】数式用!$B$4:$J$4,0)+1,0),"")</f>
        <v/>
      </c>
      <c r="Q185" s="151"/>
      <c r="R185" s="548" t="str">
        <f>IFERROR(VLOOKUP(K185,【参考】数式用!$A$5:$J$27,MATCH(Q185,【参考】数式用!$B$4:$J$4,0)+1,0),"")</f>
        <v/>
      </c>
      <c r="S185" s="549" t="s">
        <v>19</v>
      </c>
      <c r="T185" s="550">
        <v>6</v>
      </c>
      <c r="U185" s="202" t="s">
        <v>10</v>
      </c>
      <c r="V185" s="71">
        <v>4</v>
      </c>
      <c r="W185" s="202" t="s">
        <v>45</v>
      </c>
      <c r="X185" s="550">
        <v>6</v>
      </c>
      <c r="Y185" s="202" t="s">
        <v>10</v>
      </c>
      <c r="Z185" s="71">
        <v>5</v>
      </c>
      <c r="AA185" s="202" t="s">
        <v>13</v>
      </c>
      <c r="AB185" s="551" t="s">
        <v>24</v>
      </c>
      <c r="AC185" s="552">
        <f t="shared" si="208"/>
        <v>2</v>
      </c>
      <c r="AD185" s="202" t="s">
        <v>38</v>
      </c>
      <c r="AE185" s="553" t="str">
        <f>IFERROR(ROUNDDOWN(ROUND(L185*R185,0)*M185,0)*AC185,"")</f>
        <v/>
      </c>
      <c r="AF185" s="554" t="str">
        <f>IFERROR(ROUNDDOWN(ROUND(L185*(R185-P185),0)*M185,0)*AC185,"")</f>
        <v/>
      </c>
      <c r="AG185" s="555"/>
      <c r="AH185" s="465"/>
      <c r="AI185" s="473"/>
      <c r="AJ185" s="470"/>
      <c r="AK185" s="471"/>
      <c r="AL185" s="451"/>
      <c r="AM185" s="452"/>
      <c r="AN185" s="556" t="str">
        <f t="shared" ref="AN185" si="243">IF(AP185="","",IF(R185&lt;P185,"！加算の要件上は問題ありませんが、令和６年３月と比較して４・５月に加算率が下がる計画になっています。",""))</f>
        <v/>
      </c>
      <c r="AP185" s="557" t="str">
        <f>IF(K185&lt;&gt;"","P列・R列に色付け","")</f>
        <v/>
      </c>
      <c r="AQ185" s="558" t="str">
        <f>IFERROR(VLOOKUP(K185,【参考】数式用!$AJ$2:$AK$24,2,FALSE),"")</f>
        <v/>
      </c>
      <c r="AR185" s="560" t="str">
        <f>Q185&amp;Q186&amp;Q187</f>
        <v/>
      </c>
      <c r="AS185" s="558" t="str">
        <f t="shared" ref="AS185" si="244">IF(AG187&lt;&gt;0,IF(AH187="○","入力済","未入力"),"")</f>
        <v/>
      </c>
      <c r="AT185" s="559" t="str">
        <f>IF(OR(Q185="処遇加算Ⅰ",Q185="処遇加算Ⅱ"),IF(OR(AI185="○",AI185="令和６年度中に満たす"),"入力済","未入力"),"")</f>
        <v/>
      </c>
      <c r="AU185" s="560" t="str">
        <f>IF(Q185="処遇加算Ⅲ",IF(AJ185="○","入力済","未入力"),"")</f>
        <v/>
      </c>
      <c r="AV185" s="558" t="str">
        <f>IF(Q185="処遇加算Ⅰ",IF(OR(AK185="○",AK185="令和６年度中に満たす"),"入力済","未入力"),"")</f>
        <v/>
      </c>
      <c r="AW185" s="558"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43" t="str">
        <f>IF(Q186="特定加算Ⅰ",IF(AM186="","未入力","入力済"),"")</f>
        <v/>
      </c>
      <c r="AY185" s="543" t="str">
        <f>G185</f>
        <v/>
      </c>
    </row>
    <row r="186" spans="1:51" ht="32.1" customHeight="1">
      <c r="A186" s="1226"/>
      <c r="B186" s="1223"/>
      <c r="C186" s="1223"/>
      <c r="D186" s="1223"/>
      <c r="E186" s="1223"/>
      <c r="F186" s="1223"/>
      <c r="G186" s="1235"/>
      <c r="H186" s="1235"/>
      <c r="I186" s="1235"/>
      <c r="J186" s="1235"/>
      <c r="K186" s="1235"/>
      <c r="L186" s="1238"/>
      <c r="M186" s="1293"/>
      <c r="N186" s="561" t="s">
        <v>170</v>
      </c>
      <c r="O186" s="152"/>
      <c r="P186" s="562" t="str">
        <f>IFERROR(VLOOKUP(K185,【参考】数式用!$A$5:$J$27,MATCH(O186,【参考】数式用!$B$4:$J$4,0)+1,0),"")</f>
        <v/>
      </c>
      <c r="Q186" s="152"/>
      <c r="R186" s="562" t="str">
        <f>IFERROR(VLOOKUP(K185,【参考】数式用!$A$5:$J$27,MATCH(Q186,【参考】数式用!$B$4:$J$4,0)+1,0),"")</f>
        <v/>
      </c>
      <c r="S186" s="173" t="s">
        <v>19</v>
      </c>
      <c r="T186" s="563">
        <v>6</v>
      </c>
      <c r="U186" s="174" t="s">
        <v>10</v>
      </c>
      <c r="V186" s="109">
        <v>4</v>
      </c>
      <c r="W186" s="174" t="s">
        <v>45</v>
      </c>
      <c r="X186" s="563">
        <v>6</v>
      </c>
      <c r="Y186" s="174" t="s">
        <v>10</v>
      </c>
      <c r="Z186" s="109">
        <v>5</v>
      </c>
      <c r="AA186" s="174" t="s">
        <v>13</v>
      </c>
      <c r="AB186" s="564" t="s">
        <v>24</v>
      </c>
      <c r="AC186" s="565">
        <f t="shared" si="208"/>
        <v>2</v>
      </c>
      <c r="AD186" s="174" t="s">
        <v>38</v>
      </c>
      <c r="AE186" s="566" t="str">
        <f>IFERROR(ROUNDDOWN(ROUND(L185*R186,0)*M185,0)*AC186,"")</f>
        <v/>
      </c>
      <c r="AF186" s="567" t="str">
        <f>IFERROR(ROUNDDOWN(ROUND(L185*(R186-P186),0)*M185,0)*AC186,"")</f>
        <v/>
      </c>
      <c r="AG186" s="568"/>
      <c r="AH186" s="453"/>
      <c r="AI186" s="454"/>
      <c r="AJ186" s="455"/>
      <c r="AK186" s="456"/>
      <c r="AL186" s="457"/>
      <c r="AM186" s="458"/>
      <c r="AN186" s="569" t="str">
        <f t="shared" ref="AN186" si="245">IF(AP185="","",IF(OR(Z185=4,Z186=4,Z187=4),"！加算の要件上は問題ありませんが、算定期間の終わりが令和６年５月になっていません。区分変更の場合は、「基本情報入力シート」で同じ事業所を２行に分けて記入してください。",""))</f>
        <v/>
      </c>
      <c r="AO186" s="570"/>
      <c r="AP186" s="557" t="str">
        <f>IF(K185&lt;&gt;"","P列・R列に色付け","")</f>
        <v/>
      </c>
      <c r="AY186" s="543" t="str">
        <f>G185</f>
        <v/>
      </c>
    </row>
    <row r="187" spans="1:51" ht="32.1" customHeight="1" thickBot="1">
      <c r="A187" s="1227"/>
      <c r="B187" s="1224"/>
      <c r="C187" s="1224"/>
      <c r="D187" s="1224"/>
      <c r="E187" s="1224"/>
      <c r="F187" s="1224"/>
      <c r="G187" s="1236"/>
      <c r="H187" s="1236"/>
      <c r="I187" s="1236"/>
      <c r="J187" s="1236"/>
      <c r="K187" s="1236"/>
      <c r="L187" s="1239"/>
      <c r="M187" s="1294"/>
      <c r="N187" s="571" t="s">
        <v>140</v>
      </c>
      <c r="O187" s="155"/>
      <c r="P187" s="591" t="str">
        <f>IFERROR(VLOOKUP(K185,【参考】数式用!$A$5:$J$27,MATCH(O187,【参考】数式用!$B$4:$J$4,0)+1,0),"")</f>
        <v/>
      </c>
      <c r="Q187" s="153"/>
      <c r="R187" s="572" t="str">
        <f>IFERROR(VLOOKUP(K185,【参考】数式用!$A$5:$J$27,MATCH(Q187,【参考】数式用!$B$4:$J$4,0)+1,0),"")</f>
        <v/>
      </c>
      <c r="S187" s="573" t="s">
        <v>19</v>
      </c>
      <c r="T187" s="574">
        <v>6</v>
      </c>
      <c r="U187" s="575" t="s">
        <v>10</v>
      </c>
      <c r="V187" s="110">
        <v>4</v>
      </c>
      <c r="W187" s="575" t="s">
        <v>45</v>
      </c>
      <c r="X187" s="574">
        <v>6</v>
      </c>
      <c r="Y187" s="575" t="s">
        <v>10</v>
      </c>
      <c r="Z187" s="110">
        <v>5</v>
      </c>
      <c r="AA187" s="575" t="s">
        <v>13</v>
      </c>
      <c r="AB187" s="576" t="s">
        <v>24</v>
      </c>
      <c r="AC187" s="577">
        <f t="shared" si="208"/>
        <v>2</v>
      </c>
      <c r="AD187" s="575" t="s">
        <v>38</v>
      </c>
      <c r="AE187" s="590" t="str">
        <f>IFERROR(ROUNDDOWN(ROUND(L185*R187,0)*M185,0)*AC187,"")</f>
        <v/>
      </c>
      <c r="AF187" s="579" t="str">
        <f>IFERROR(ROUNDDOWN(ROUND(L185*(R187-P187),0)*M185,0)*AC187,"")</f>
        <v/>
      </c>
      <c r="AG187" s="580">
        <f t="shared" ref="AG187:AG250" si="246">IF(AND(O187="ベア加算なし",Q187="ベア加算"),AE187,0)</f>
        <v>0</v>
      </c>
      <c r="AH187" s="459"/>
      <c r="AI187" s="460"/>
      <c r="AJ187" s="461"/>
      <c r="AK187" s="462"/>
      <c r="AL187" s="463"/>
      <c r="AM187" s="464"/>
      <c r="AN187" s="581" t="str">
        <f t="shared" ref="AN187" si="247">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82" t="str">
        <f>IF(K185&lt;&gt;"","P列・R列に色付け","")</f>
        <v/>
      </c>
      <c r="AQ187" s="583"/>
      <c r="AR187" s="583"/>
      <c r="AX187" s="584"/>
      <c r="AY187" s="543" t="str">
        <f>G185</f>
        <v/>
      </c>
    </row>
    <row r="188" spans="1:51" ht="32.1" customHeight="1">
      <c r="A188" s="1225">
        <v>59</v>
      </c>
      <c r="B188" s="1222" t="str">
        <f>IF(基本情報入力シート!C112="","",基本情報入力シート!C112)</f>
        <v/>
      </c>
      <c r="C188" s="1222"/>
      <c r="D188" s="1222"/>
      <c r="E188" s="1222"/>
      <c r="F188" s="1222"/>
      <c r="G188" s="1234" t="str">
        <f>IF(基本情報入力シート!M112="","",基本情報入力シート!M112)</f>
        <v/>
      </c>
      <c r="H188" s="1234" t="str">
        <f>IF(基本情報入力シート!R112="","",基本情報入力シート!R112)</f>
        <v/>
      </c>
      <c r="I188" s="1234" t="str">
        <f>IF(基本情報入力シート!W112="","",基本情報入力シート!W112)</f>
        <v/>
      </c>
      <c r="J188" s="1234" t="str">
        <f>IF(基本情報入力シート!X112="","",基本情報入力シート!X112)</f>
        <v/>
      </c>
      <c r="K188" s="1234" t="str">
        <f>IF(基本情報入力シート!Y112="","",基本情報入力シート!Y112)</f>
        <v/>
      </c>
      <c r="L188" s="1237" t="str">
        <f>IF(基本情報入力シート!AB112="","",基本情報入力シート!AB112)</f>
        <v/>
      </c>
      <c r="M188" s="1292" t="str">
        <f>IF(基本情報入力シート!AC112="","",基本情報入力シート!AC112)</f>
        <v/>
      </c>
      <c r="N188" s="547" t="s">
        <v>183</v>
      </c>
      <c r="O188" s="151"/>
      <c r="P188" s="548" t="str">
        <f>IFERROR(VLOOKUP(K188,【参考】数式用!$A$5:$J$27,MATCH(O188,【参考】数式用!$B$4:$J$4,0)+1,0),"")</f>
        <v/>
      </c>
      <c r="Q188" s="151"/>
      <c r="R188" s="548" t="str">
        <f>IFERROR(VLOOKUP(K188,【参考】数式用!$A$5:$J$27,MATCH(Q188,【参考】数式用!$B$4:$J$4,0)+1,0),"")</f>
        <v/>
      </c>
      <c r="S188" s="549" t="s">
        <v>19</v>
      </c>
      <c r="T188" s="550">
        <v>6</v>
      </c>
      <c r="U188" s="202" t="s">
        <v>10</v>
      </c>
      <c r="V188" s="71">
        <v>4</v>
      </c>
      <c r="W188" s="202" t="s">
        <v>45</v>
      </c>
      <c r="X188" s="550">
        <v>6</v>
      </c>
      <c r="Y188" s="202" t="s">
        <v>10</v>
      </c>
      <c r="Z188" s="71">
        <v>5</v>
      </c>
      <c r="AA188" s="202" t="s">
        <v>13</v>
      </c>
      <c r="AB188" s="551" t="s">
        <v>24</v>
      </c>
      <c r="AC188" s="552">
        <f t="shared" si="208"/>
        <v>2</v>
      </c>
      <c r="AD188" s="202" t="s">
        <v>38</v>
      </c>
      <c r="AE188" s="553" t="str">
        <f>IFERROR(ROUNDDOWN(ROUND(L188*R188,0)*M188,0)*AC188,"")</f>
        <v/>
      </c>
      <c r="AF188" s="554" t="str">
        <f>IFERROR(ROUNDDOWN(ROUND(L188*(R188-P188),0)*M188,0)*AC188,"")</f>
        <v/>
      </c>
      <c r="AG188" s="555"/>
      <c r="AH188" s="465"/>
      <c r="AI188" s="473"/>
      <c r="AJ188" s="470"/>
      <c r="AK188" s="471"/>
      <c r="AL188" s="451"/>
      <c r="AM188" s="452"/>
      <c r="AN188" s="556" t="str">
        <f t="shared" ref="AN188" si="248">IF(AP188="","",IF(R188&lt;P188,"！加算の要件上は問題ありませんが、令和６年３月と比較して４・５月に加算率が下がる計画になっています。",""))</f>
        <v/>
      </c>
      <c r="AP188" s="557" t="str">
        <f>IF(K188&lt;&gt;"","P列・R列に色付け","")</f>
        <v/>
      </c>
      <c r="AQ188" s="558" t="str">
        <f>IFERROR(VLOOKUP(K188,【参考】数式用!$AJ$2:$AK$24,2,FALSE),"")</f>
        <v/>
      </c>
      <c r="AR188" s="560" t="str">
        <f>Q188&amp;Q189&amp;Q190</f>
        <v/>
      </c>
      <c r="AS188" s="558" t="str">
        <f t="shared" ref="AS188" si="249">IF(AG190&lt;&gt;0,IF(AH190="○","入力済","未入力"),"")</f>
        <v/>
      </c>
      <c r="AT188" s="559" t="str">
        <f>IF(OR(Q188="処遇加算Ⅰ",Q188="処遇加算Ⅱ"),IF(OR(AI188="○",AI188="令和６年度中に満たす"),"入力済","未入力"),"")</f>
        <v/>
      </c>
      <c r="AU188" s="560" t="str">
        <f>IF(Q188="処遇加算Ⅲ",IF(AJ188="○","入力済","未入力"),"")</f>
        <v/>
      </c>
      <c r="AV188" s="558" t="str">
        <f>IF(Q188="処遇加算Ⅰ",IF(OR(AK188="○",AK188="令和６年度中に満たす"),"入力済","未入力"),"")</f>
        <v/>
      </c>
      <c r="AW188" s="558"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43" t="str">
        <f>IF(Q189="特定加算Ⅰ",IF(AM189="","未入力","入力済"),"")</f>
        <v/>
      </c>
      <c r="AY188" s="543" t="str">
        <f>G188</f>
        <v/>
      </c>
    </row>
    <row r="189" spans="1:51" ht="32.1" customHeight="1">
      <c r="A189" s="1226"/>
      <c r="B189" s="1223"/>
      <c r="C189" s="1223"/>
      <c r="D189" s="1223"/>
      <c r="E189" s="1223"/>
      <c r="F189" s="1223"/>
      <c r="G189" s="1235"/>
      <c r="H189" s="1235"/>
      <c r="I189" s="1235"/>
      <c r="J189" s="1235"/>
      <c r="K189" s="1235"/>
      <c r="L189" s="1238"/>
      <c r="M189" s="1293"/>
      <c r="N189" s="561" t="s">
        <v>170</v>
      </c>
      <c r="O189" s="152"/>
      <c r="P189" s="562" t="str">
        <f>IFERROR(VLOOKUP(K188,【参考】数式用!$A$5:$J$27,MATCH(O189,【参考】数式用!$B$4:$J$4,0)+1,0),"")</f>
        <v/>
      </c>
      <c r="Q189" s="152"/>
      <c r="R189" s="562" t="str">
        <f>IFERROR(VLOOKUP(K188,【参考】数式用!$A$5:$J$27,MATCH(Q189,【参考】数式用!$B$4:$J$4,0)+1,0),"")</f>
        <v/>
      </c>
      <c r="S189" s="173" t="s">
        <v>19</v>
      </c>
      <c r="T189" s="563">
        <v>6</v>
      </c>
      <c r="U189" s="174" t="s">
        <v>10</v>
      </c>
      <c r="V189" s="109">
        <v>4</v>
      </c>
      <c r="W189" s="174" t="s">
        <v>45</v>
      </c>
      <c r="X189" s="563">
        <v>6</v>
      </c>
      <c r="Y189" s="174" t="s">
        <v>10</v>
      </c>
      <c r="Z189" s="109">
        <v>5</v>
      </c>
      <c r="AA189" s="174" t="s">
        <v>13</v>
      </c>
      <c r="AB189" s="564" t="s">
        <v>24</v>
      </c>
      <c r="AC189" s="565">
        <f t="shared" si="208"/>
        <v>2</v>
      </c>
      <c r="AD189" s="174" t="s">
        <v>38</v>
      </c>
      <c r="AE189" s="566" t="str">
        <f>IFERROR(ROUNDDOWN(ROUND(L188*R189,0)*M188,0)*AC189,"")</f>
        <v/>
      </c>
      <c r="AF189" s="567" t="str">
        <f>IFERROR(ROUNDDOWN(ROUND(L188*(R189-P189),0)*M188,0)*AC189,"")</f>
        <v/>
      </c>
      <c r="AG189" s="568"/>
      <c r="AH189" s="453"/>
      <c r="AI189" s="454"/>
      <c r="AJ189" s="455"/>
      <c r="AK189" s="456"/>
      <c r="AL189" s="457"/>
      <c r="AM189" s="458"/>
      <c r="AN189" s="569" t="str">
        <f t="shared" ref="AN189" si="250">IF(AP188="","",IF(OR(Z188=4,Z189=4,Z190=4),"！加算の要件上は問題ありませんが、算定期間の終わりが令和６年５月になっていません。区分変更の場合は、「基本情報入力シート」で同じ事業所を２行に分けて記入してください。",""))</f>
        <v/>
      </c>
      <c r="AO189" s="570"/>
      <c r="AP189" s="557" t="str">
        <f>IF(K188&lt;&gt;"","P列・R列に色付け","")</f>
        <v/>
      </c>
      <c r="AY189" s="543" t="str">
        <f>G188</f>
        <v/>
      </c>
    </row>
    <row r="190" spans="1:51" ht="32.1" customHeight="1" thickBot="1">
      <c r="A190" s="1227"/>
      <c r="B190" s="1224"/>
      <c r="C190" s="1224"/>
      <c r="D190" s="1224"/>
      <c r="E190" s="1224"/>
      <c r="F190" s="1224"/>
      <c r="G190" s="1236"/>
      <c r="H190" s="1236"/>
      <c r="I190" s="1236"/>
      <c r="J190" s="1236"/>
      <c r="K190" s="1236"/>
      <c r="L190" s="1239"/>
      <c r="M190" s="1294"/>
      <c r="N190" s="571" t="s">
        <v>140</v>
      </c>
      <c r="O190" s="155"/>
      <c r="P190" s="591" t="str">
        <f>IFERROR(VLOOKUP(K188,【参考】数式用!$A$5:$J$27,MATCH(O190,【参考】数式用!$B$4:$J$4,0)+1,0),"")</f>
        <v/>
      </c>
      <c r="Q190" s="153"/>
      <c r="R190" s="572" t="str">
        <f>IFERROR(VLOOKUP(K188,【参考】数式用!$A$5:$J$27,MATCH(Q190,【参考】数式用!$B$4:$J$4,0)+1,0),"")</f>
        <v/>
      </c>
      <c r="S190" s="573" t="s">
        <v>19</v>
      </c>
      <c r="T190" s="574">
        <v>6</v>
      </c>
      <c r="U190" s="575" t="s">
        <v>10</v>
      </c>
      <c r="V190" s="110">
        <v>4</v>
      </c>
      <c r="W190" s="575" t="s">
        <v>45</v>
      </c>
      <c r="X190" s="574">
        <v>6</v>
      </c>
      <c r="Y190" s="575" t="s">
        <v>10</v>
      </c>
      <c r="Z190" s="110">
        <v>5</v>
      </c>
      <c r="AA190" s="575" t="s">
        <v>13</v>
      </c>
      <c r="AB190" s="576" t="s">
        <v>24</v>
      </c>
      <c r="AC190" s="577">
        <f t="shared" si="208"/>
        <v>2</v>
      </c>
      <c r="AD190" s="575" t="s">
        <v>38</v>
      </c>
      <c r="AE190" s="590" t="str">
        <f>IFERROR(ROUNDDOWN(ROUND(L188*R190,0)*M188,0)*AC190,"")</f>
        <v/>
      </c>
      <c r="AF190" s="579" t="str">
        <f>IFERROR(ROUNDDOWN(ROUND(L188*(R190-P190),0)*M188,0)*AC190,"")</f>
        <v/>
      </c>
      <c r="AG190" s="580">
        <f t="shared" si="246"/>
        <v>0</v>
      </c>
      <c r="AH190" s="459"/>
      <c r="AI190" s="460"/>
      <c r="AJ190" s="461"/>
      <c r="AK190" s="462"/>
      <c r="AL190" s="463"/>
      <c r="AM190" s="464"/>
      <c r="AN190" s="581" t="str">
        <f t="shared" ref="AN190" si="251">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82" t="str">
        <f>IF(K188&lt;&gt;"","P列・R列に色付け","")</f>
        <v/>
      </c>
      <c r="AQ190" s="583"/>
      <c r="AR190" s="583"/>
      <c r="AX190" s="584"/>
      <c r="AY190" s="543" t="str">
        <f>G188</f>
        <v/>
      </c>
    </row>
    <row r="191" spans="1:51" ht="32.1" customHeight="1">
      <c r="A191" s="1225">
        <v>60</v>
      </c>
      <c r="B191" s="1222" t="str">
        <f>IF(基本情報入力シート!C113="","",基本情報入力シート!C113)</f>
        <v/>
      </c>
      <c r="C191" s="1222"/>
      <c r="D191" s="1222"/>
      <c r="E191" s="1222"/>
      <c r="F191" s="1222"/>
      <c r="G191" s="1234" t="str">
        <f>IF(基本情報入力シート!M113="","",基本情報入力シート!M113)</f>
        <v/>
      </c>
      <c r="H191" s="1234" t="str">
        <f>IF(基本情報入力シート!R113="","",基本情報入力シート!R113)</f>
        <v/>
      </c>
      <c r="I191" s="1234" t="str">
        <f>IF(基本情報入力シート!W113="","",基本情報入力シート!W113)</f>
        <v/>
      </c>
      <c r="J191" s="1234" t="str">
        <f>IF(基本情報入力シート!X113="","",基本情報入力シート!X113)</f>
        <v/>
      </c>
      <c r="K191" s="1234" t="str">
        <f>IF(基本情報入力シート!Y113="","",基本情報入力シート!Y113)</f>
        <v/>
      </c>
      <c r="L191" s="1237" t="str">
        <f>IF(基本情報入力シート!AB113="","",基本情報入力シート!AB113)</f>
        <v/>
      </c>
      <c r="M191" s="1292" t="str">
        <f>IF(基本情報入力シート!AC113="","",基本情報入力シート!AC113)</f>
        <v/>
      </c>
      <c r="N191" s="547" t="s">
        <v>183</v>
      </c>
      <c r="O191" s="151"/>
      <c r="P191" s="548" t="str">
        <f>IFERROR(VLOOKUP(K191,【参考】数式用!$A$5:$J$27,MATCH(O191,【参考】数式用!$B$4:$J$4,0)+1,0),"")</f>
        <v/>
      </c>
      <c r="Q191" s="151"/>
      <c r="R191" s="548" t="str">
        <f>IFERROR(VLOOKUP(K191,【参考】数式用!$A$5:$J$27,MATCH(Q191,【参考】数式用!$B$4:$J$4,0)+1,0),"")</f>
        <v/>
      </c>
      <c r="S191" s="549" t="s">
        <v>19</v>
      </c>
      <c r="T191" s="550">
        <v>6</v>
      </c>
      <c r="U191" s="202" t="s">
        <v>10</v>
      </c>
      <c r="V191" s="71">
        <v>4</v>
      </c>
      <c r="W191" s="202" t="s">
        <v>45</v>
      </c>
      <c r="X191" s="550">
        <v>6</v>
      </c>
      <c r="Y191" s="202" t="s">
        <v>10</v>
      </c>
      <c r="Z191" s="71">
        <v>5</v>
      </c>
      <c r="AA191" s="202" t="s">
        <v>13</v>
      </c>
      <c r="AB191" s="551" t="s">
        <v>24</v>
      </c>
      <c r="AC191" s="552">
        <f t="shared" si="208"/>
        <v>2</v>
      </c>
      <c r="AD191" s="202" t="s">
        <v>38</v>
      </c>
      <c r="AE191" s="553" t="str">
        <f>IFERROR(ROUNDDOWN(ROUND(L191*R191,0)*M191,0)*AC191,"")</f>
        <v/>
      </c>
      <c r="AF191" s="554" t="str">
        <f>IFERROR(ROUNDDOWN(ROUND(L191*(R191-P191),0)*M191,0)*AC191,"")</f>
        <v/>
      </c>
      <c r="AG191" s="555"/>
      <c r="AH191" s="465"/>
      <c r="AI191" s="473"/>
      <c r="AJ191" s="470"/>
      <c r="AK191" s="471"/>
      <c r="AL191" s="451"/>
      <c r="AM191" s="452"/>
      <c r="AN191" s="556" t="str">
        <f t="shared" ref="AN191" si="252">IF(AP191="","",IF(R191&lt;P191,"！加算の要件上は問題ありませんが、令和６年３月と比較して４・５月に加算率が下がる計画になっています。",""))</f>
        <v/>
      </c>
      <c r="AP191" s="557" t="str">
        <f>IF(K191&lt;&gt;"","P列・R列に色付け","")</f>
        <v/>
      </c>
      <c r="AQ191" s="558" t="str">
        <f>IFERROR(VLOOKUP(K191,【参考】数式用!$AJ$2:$AK$24,2,FALSE),"")</f>
        <v/>
      </c>
      <c r="AR191" s="560" t="str">
        <f>Q191&amp;Q192&amp;Q193</f>
        <v/>
      </c>
      <c r="AS191" s="558" t="str">
        <f t="shared" ref="AS191" si="253">IF(AG193&lt;&gt;0,IF(AH193="○","入力済","未入力"),"")</f>
        <v/>
      </c>
      <c r="AT191" s="559" t="str">
        <f>IF(OR(Q191="処遇加算Ⅰ",Q191="処遇加算Ⅱ"),IF(OR(AI191="○",AI191="令和６年度中に満たす"),"入力済","未入力"),"")</f>
        <v/>
      </c>
      <c r="AU191" s="560" t="str">
        <f>IF(Q191="処遇加算Ⅲ",IF(AJ191="○","入力済","未入力"),"")</f>
        <v/>
      </c>
      <c r="AV191" s="558" t="str">
        <f>IF(Q191="処遇加算Ⅰ",IF(OR(AK191="○",AK191="令和６年度中に満たす"),"入力済","未入力"),"")</f>
        <v/>
      </c>
      <c r="AW191" s="558"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43" t="str">
        <f>IF(Q192="特定加算Ⅰ",IF(AM192="","未入力","入力済"),"")</f>
        <v/>
      </c>
      <c r="AY191" s="543" t="str">
        <f>G191</f>
        <v/>
      </c>
    </row>
    <row r="192" spans="1:51" ht="32.1" customHeight="1">
      <c r="A192" s="1226"/>
      <c r="B192" s="1223"/>
      <c r="C192" s="1223"/>
      <c r="D192" s="1223"/>
      <c r="E192" s="1223"/>
      <c r="F192" s="1223"/>
      <c r="G192" s="1235"/>
      <c r="H192" s="1235"/>
      <c r="I192" s="1235"/>
      <c r="J192" s="1235"/>
      <c r="K192" s="1235"/>
      <c r="L192" s="1238"/>
      <c r="M192" s="1293"/>
      <c r="N192" s="561" t="s">
        <v>170</v>
      </c>
      <c r="O192" s="152"/>
      <c r="P192" s="562" t="str">
        <f>IFERROR(VLOOKUP(K191,【参考】数式用!$A$5:$J$27,MATCH(O192,【参考】数式用!$B$4:$J$4,0)+1,0),"")</f>
        <v/>
      </c>
      <c r="Q192" s="152"/>
      <c r="R192" s="562" t="str">
        <f>IFERROR(VLOOKUP(K191,【参考】数式用!$A$5:$J$27,MATCH(Q192,【参考】数式用!$B$4:$J$4,0)+1,0),"")</f>
        <v/>
      </c>
      <c r="S192" s="173" t="s">
        <v>19</v>
      </c>
      <c r="T192" s="563">
        <v>6</v>
      </c>
      <c r="U192" s="174" t="s">
        <v>10</v>
      </c>
      <c r="V192" s="109">
        <v>4</v>
      </c>
      <c r="W192" s="174" t="s">
        <v>45</v>
      </c>
      <c r="X192" s="563">
        <v>6</v>
      </c>
      <c r="Y192" s="174" t="s">
        <v>10</v>
      </c>
      <c r="Z192" s="109">
        <v>5</v>
      </c>
      <c r="AA192" s="174" t="s">
        <v>13</v>
      </c>
      <c r="AB192" s="564" t="s">
        <v>24</v>
      </c>
      <c r="AC192" s="565">
        <f t="shared" si="208"/>
        <v>2</v>
      </c>
      <c r="AD192" s="174" t="s">
        <v>38</v>
      </c>
      <c r="AE192" s="566" t="str">
        <f>IFERROR(ROUNDDOWN(ROUND(L191*R192,0)*M191,0)*AC192,"")</f>
        <v/>
      </c>
      <c r="AF192" s="567" t="str">
        <f>IFERROR(ROUNDDOWN(ROUND(L191*(R192-P192),0)*M191,0)*AC192,"")</f>
        <v/>
      </c>
      <c r="AG192" s="568"/>
      <c r="AH192" s="453"/>
      <c r="AI192" s="454"/>
      <c r="AJ192" s="455"/>
      <c r="AK192" s="456"/>
      <c r="AL192" s="457"/>
      <c r="AM192" s="458"/>
      <c r="AN192" s="569" t="str">
        <f t="shared" ref="AN192" si="254">IF(AP191="","",IF(OR(Z191=4,Z192=4,Z193=4),"！加算の要件上は問題ありませんが、算定期間の終わりが令和６年５月になっていません。区分変更の場合は、「基本情報入力シート」で同じ事業所を２行に分けて記入してください。",""))</f>
        <v/>
      </c>
      <c r="AO192" s="570"/>
      <c r="AP192" s="557" t="str">
        <f>IF(K191&lt;&gt;"","P列・R列に色付け","")</f>
        <v/>
      </c>
      <c r="AY192" s="543" t="str">
        <f>G191</f>
        <v/>
      </c>
    </row>
    <row r="193" spans="1:51" ht="32.1" customHeight="1" thickBot="1">
      <c r="A193" s="1227"/>
      <c r="B193" s="1224"/>
      <c r="C193" s="1224"/>
      <c r="D193" s="1224"/>
      <c r="E193" s="1224"/>
      <c r="F193" s="1224"/>
      <c r="G193" s="1236"/>
      <c r="H193" s="1236"/>
      <c r="I193" s="1236"/>
      <c r="J193" s="1236"/>
      <c r="K193" s="1236"/>
      <c r="L193" s="1239"/>
      <c r="M193" s="1294"/>
      <c r="N193" s="571" t="s">
        <v>140</v>
      </c>
      <c r="O193" s="155"/>
      <c r="P193" s="591" t="str">
        <f>IFERROR(VLOOKUP(K191,【参考】数式用!$A$5:$J$27,MATCH(O193,【参考】数式用!$B$4:$J$4,0)+1,0),"")</f>
        <v/>
      </c>
      <c r="Q193" s="153"/>
      <c r="R193" s="572" t="str">
        <f>IFERROR(VLOOKUP(K191,【参考】数式用!$A$5:$J$27,MATCH(Q193,【参考】数式用!$B$4:$J$4,0)+1,0),"")</f>
        <v/>
      </c>
      <c r="S193" s="573" t="s">
        <v>19</v>
      </c>
      <c r="T193" s="574">
        <v>6</v>
      </c>
      <c r="U193" s="575" t="s">
        <v>10</v>
      </c>
      <c r="V193" s="110">
        <v>4</v>
      </c>
      <c r="W193" s="575" t="s">
        <v>45</v>
      </c>
      <c r="X193" s="574">
        <v>6</v>
      </c>
      <c r="Y193" s="575" t="s">
        <v>10</v>
      </c>
      <c r="Z193" s="110">
        <v>5</v>
      </c>
      <c r="AA193" s="575" t="s">
        <v>13</v>
      </c>
      <c r="AB193" s="576" t="s">
        <v>24</v>
      </c>
      <c r="AC193" s="577">
        <f t="shared" si="208"/>
        <v>2</v>
      </c>
      <c r="AD193" s="575" t="s">
        <v>38</v>
      </c>
      <c r="AE193" s="590" t="str">
        <f>IFERROR(ROUNDDOWN(ROUND(L191*R193,0)*M191,0)*AC193,"")</f>
        <v/>
      </c>
      <c r="AF193" s="579" t="str">
        <f>IFERROR(ROUNDDOWN(ROUND(L191*(R193-P193),0)*M191,0)*AC193,"")</f>
        <v/>
      </c>
      <c r="AG193" s="580">
        <f t="shared" si="246"/>
        <v>0</v>
      </c>
      <c r="AH193" s="459"/>
      <c r="AI193" s="460"/>
      <c r="AJ193" s="461"/>
      <c r="AK193" s="462"/>
      <c r="AL193" s="463"/>
      <c r="AM193" s="464"/>
      <c r="AN193" s="581" t="str">
        <f t="shared" ref="AN193" si="255">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82" t="str">
        <f>IF(K191&lt;&gt;"","P列・R列に色付け","")</f>
        <v/>
      </c>
      <c r="AQ193" s="583"/>
      <c r="AR193" s="583"/>
      <c r="AX193" s="584"/>
      <c r="AY193" s="543" t="str">
        <f>G191</f>
        <v/>
      </c>
    </row>
    <row r="194" spans="1:51" ht="32.1" customHeight="1">
      <c r="A194" s="1225">
        <v>61</v>
      </c>
      <c r="B194" s="1222" t="str">
        <f>IF(基本情報入力シート!C114="","",基本情報入力シート!C114)</f>
        <v/>
      </c>
      <c r="C194" s="1222"/>
      <c r="D194" s="1222"/>
      <c r="E194" s="1222"/>
      <c r="F194" s="1222"/>
      <c r="G194" s="1234" t="str">
        <f>IF(基本情報入力シート!M114="","",基本情報入力シート!M114)</f>
        <v/>
      </c>
      <c r="H194" s="1234" t="str">
        <f>IF(基本情報入力シート!R114="","",基本情報入力シート!R114)</f>
        <v/>
      </c>
      <c r="I194" s="1234" t="str">
        <f>IF(基本情報入力シート!W114="","",基本情報入力シート!W114)</f>
        <v/>
      </c>
      <c r="J194" s="1234" t="str">
        <f>IF(基本情報入力シート!X114="","",基本情報入力シート!X114)</f>
        <v/>
      </c>
      <c r="K194" s="1234" t="str">
        <f>IF(基本情報入力シート!Y114="","",基本情報入力シート!Y114)</f>
        <v/>
      </c>
      <c r="L194" s="1237" t="str">
        <f>IF(基本情報入力シート!AB114="","",基本情報入力シート!AB114)</f>
        <v/>
      </c>
      <c r="M194" s="1292" t="str">
        <f>IF(基本情報入力シート!AC114="","",基本情報入力シート!AC114)</f>
        <v/>
      </c>
      <c r="N194" s="547" t="s">
        <v>183</v>
      </c>
      <c r="O194" s="151"/>
      <c r="P194" s="548" t="str">
        <f>IFERROR(VLOOKUP(K194,【参考】数式用!$A$5:$J$27,MATCH(O194,【参考】数式用!$B$4:$J$4,0)+1,0),"")</f>
        <v/>
      </c>
      <c r="Q194" s="151"/>
      <c r="R194" s="548" t="str">
        <f>IFERROR(VLOOKUP(K194,【参考】数式用!$A$5:$J$27,MATCH(Q194,【参考】数式用!$B$4:$J$4,0)+1,0),"")</f>
        <v/>
      </c>
      <c r="S194" s="549" t="s">
        <v>19</v>
      </c>
      <c r="T194" s="550">
        <v>6</v>
      </c>
      <c r="U194" s="202" t="s">
        <v>10</v>
      </c>
      <c r="V194" s="71">
        <v>4</v>
      </c>
      <c r="W194" s="202" t="s">
        <v>45</v>
      </c>
      <c r="X194" s="550">
        <v>6</v>
      </c>
      <c r="Y194" s="202" t="s">
        <v>10</v>
      </c>
      <c r="Z194" s="71">
        <v>5</v>
      </c>
      <c r="AA194" s="202" t="s">
        <v>13</v>
      </c>
      <c r="AB194" s="551" t="s">
        <v>24</v>
      </c>
      <c r="AC194" s="552">
        <f t="shared" si="208"/>
        <v>2</v>
      </c>
      <c r="AD194" s="202" t="s">
        <v>38</v>
      </c>
      <c r="AE194" s="553" t="str">
        <f>IFERROR(ROUNDDOWN(ROUND(L194*R194,0)*M194,0)*AC194,"")</f>
        <v/>
      </c>
      <c r="AF194" s="554" t="str">
        <f>IFERROR(ROUNDDOWN(ROUND(L194*(R194-P194),0)*M194,0)*AC194,"")</f>
        <v/>
      </c>
      <c r="AG194" s="555"/>
      <c r="AH194" s="465"/>
      <c r="AI194" s="473"/>
      <c r="AJ194" s="470"/>
      <c r="AK194" s="471"/>
      <c r="AL194" s="451"/>
      <c r="AM194" s="452"/>
      <c r="AN194" s="556" t="str">
        <f t="shared" ref="AN194" si="256">IF(AP194="","",IF(R194&lt;P194,"！加算の要件上は問題ありませんが、令和６年３月と比較して４・５月に加算率が下がる計画になっています。",""))</f>
        <v/>
      </c>
      <c r="AP194" s="557" t="str">
        <f>IF(K194&lt;&gt;"","P列・R列に色付け","")</f>
        <v/>
      </c>
      <c r="AQ194" s="558" t="str">
        <f>IFERROR(VLOOKUP(K194,【参考】数式用!$AJ$2:$AK$24,2,FALSE),"")</f>
        <v/>
      </c>
      <c r="AR194" s="560" t="str">
        <f>Q194&amp;Q195&amp;Q196</f>
        <v/>
      </c>
      <c r="AS194" s="558" t="str">
        <f t="shared" ref="AS194" si="257">IF(AG196&lt;&gt;0,IF(AH196="○","入力済","未入力"),"")</f>
        <v/>
      </c>
      <c r="AT194" s="559" t="str">
        <f>IF(OR(Q194="処遇加算Ⅰ",Q194="処遇加算Ⅱ"),IF(OR(AI194="○",AI194="令和６年度中に満たす"),"入力済","未入力"),"")</f>
        <v/>
      </c>
      <c r="AU194" s="560" t="str">
        <f>IF(Q194="処遇加算Ⅲ",IF(AJ194="○","入力済","未入力"),"")</f>
        <v/>
      </c>
      <c r="AV194" s="558" t="str">
        <f>IF(Q194="処遇加算Ⅰ",IF(OR(AK194="○",AK194="令和６年度中に満たす"),"入力済","未入力"),"")</f>
        <v/>
      </c>
      <c r="AW194" s="558"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43" t="str">
        <f>IF(Q195="特定加算Ⅰ",IF(AM195="","未入力","入力済"),"")</f>
        <v/>
      </c>
      <c r="AY194" s="543" t="str">
        <f>G194</f>
        <v/>
      </c>
    </row>
    <row r="195" spans="1:51" ht="32.1" customHeight="1">
      <c r="A195" s="1226"/>
      <c r="B195" s="1223"/>
      <c r="C195" s="1223"/>
      <c r="D195" s="1223"/>
      <c r="E195" s="1223"/>
      <c r="F195" s="1223"/>
      <c r="G195" s="1235"/>
      <c r="H195" s="1235"/>
      <c r="I195" s="1235"/>
      <c r="J195" s="1235"/>
      <c r="K195" s="1235"/>
      <c r="L195" s="1238"/>
      <c r="M195" s="1293"/>
      <c r="N195" s="561" t="s">
        <v>170</v>
      </c>
      <c r="O195" s="152"/>
      <c r="P195" s="562" t="str">
        <f>IFERROR(VLOOKUP(K194,【参考】数式用!$A$5:$J$27,MATCH(O195,【参考】数式用!$B$4:$J$4,0)+1,0),"")</f>
        <v/>
      </c>
      <c r="Q195" s="152"/>
      <c r="R195" s="562" t="str">
        <f>IFERROR(VLOOKUP(K194,【参考】数式用!$A$5:$J$27,MATCH(Q195,【参考】数式用!$B$4:$J$4,0)+1,0),"")</f>
        <v/>
      </c>
      <c r="S195" s="173" t="s">
        <v>19</v>
      </c>
      <c r="T195" s="563">
        <v>6</v>
      </c>
      <c r="U195" s="174" t="s">
        <v>10</v>
      </c>
      <c r="V195" s="109">
        <v>4</v>
      </c>
      <c r="W195" s="174" t="s">
        <v>45</v>
      </c>
      <c r="X195" s="563">
        <v>6</v>
      </c>
      <c r="Y195" s="174" t="s">
        <v>10</v>
      </c>
      <c r="Z195" s="109">
        <v>5</v>
      </c>
      <c r="AA195" s="174" t="s">
        <v>13</v>
      </c>
      <c r="AB195" s="564" t="s">
        <v>24</v>
      </c>
      <c r="AC195" s="565">
        <f t="shared" si="208"/>
        <v>2</v>
      </c>
      <c r="AD195" s="174" t="s">
        <v>38</v>
      </c>
      <c r="AE195" s="566" t="str">
        <f>IFERROR(ROUNDDOWN(ROUND(L194*R195,0)*M194,0)*AC195,"")</f>
        <v/>
      </c>
      <c r="AF195" s="567" t="str">
        <f>IFERROR(ROUNDDOWN(ROUND(L194*(R195-P195),0)*M194,0)*AC195,"")</f>
        <v/>
      </c>
      <c r="AG195" s="568"/>
      <c r="AH195" s="453"/>
      <c r="AI195" s="454"/>
      <c r="AJ195" s="455"/>
      <c r="AK195" s="456"/>
      <c r="AL195" s="457"/>
      <c r="AM195" s="458"/>
      <c r="AN195" s="569" t="str">
        <f t="shared" ref="AN195" si="258">IF(AP194="","",IF(OR(Z194=4,Z195=4,Z196=4),"！加算の要件上は問題ありませんが、算定期間の終わりが令和６年５月になっていません。区分変更の場合は、「基本情報入力シート」で同じ事業所を２行に分けて記入してください。",""))</f>
        <v/>
      </c>
      <c r="AO195" s="570"/>
      <c r="AP195" s="557" t="str">
        <f>IF(K194&lt;&gt;"","P列・R列に色付け","")</f>
        <v/>
      </c>
      <c r="AY195" s="543" t="str">
        <f>G194</f>
        <v/>
      </c>
    </row>
    <row r="196" spans="1:51" ht="32.1" customHeight="1" thickBot="1">
      <c r="A196" s="1227"/>
      <c r="B196" s="1224"/>
      <c r="C196" s="1224"/>
      <c r="D196" s="1224"/>
      <c r="E196" s="1224"/>
      <c r="F196" s="1224"/>
      <c r="G196" s="1236"/>
      <c r="H196" s="1236"/>
      <c r="I196" s="1236"/>
      <c r="J196" s="1236"/>
      <c r="K196" s="1236"/>
      <c r="L196" s="1239"/>
      <c r="M196" s="1294"/>
      <c r="N196" s="571" t="s">
        <v>140</v>
      </c>
      <c r="O196" s="155"/>
      <c r="P196" s="591" t="str">
        <f>IFERROR(VLOOKUP(K194,【参考】数式用!$A$5:$J$27,MATCH(O196,【参考】数式用!$B$4:$J$4,0)+1,0),"")</f>
        <v/>
      </c>
      <c r="Q196" s="153"/>
      <c r="R196" s="572" t="str">
        <f>IFERROR(VLOOKUP(K194,【参考】数式用!$A$5:$J$27,MATCH(Q196,【参考】数式用!$B$4:$J$4,0)+1,0),"")</f>
        <v/>
      </c>
      <c r="S196" s="573" t="s">
        <v>19</v>
      </c>
      <c r="T196" s="574">
        <v>6</v>
      </c>
      <c r="U196" s="575" t="s">
        <v>10</v>
      </c>
      <c r="V196" s="110">
        <v>4</v>
      </c>
      <c r="W196" s="575" t="s">
        <v>45</v>
      </c>
      <c r="X196" s="574">
        <v>6</v>
      </c>
      <c r="Y196" s="575" t="s">
        <v>10</v>
      </c>
      <c r="Z196" s="110">
        <v>5</v>
      </c>
      <c r="AA196" s="575" t="s">
        <v>13</v>
      </c>
      <c r="AB196" s="576" t="s">
        <v>24</v>
      </c>
      <c r="AC196" s="577">
        <f t="shared" si="208"/>
        <v>2</v>
      </c>
      <c r="AD196" s="575" t="s">
        <v>38</v>
      </c>
      <c r="AE196" s="590" t="str">
        <f>IFERROR(ROUNDDOWN(ROUND(L194*R196,0)*M194,0)*AC196,"")</f>
        <v/>
      </c>
      <c r="AF196" s="579" t="str">
        <f>IFERROR(ROUNDDOWN(ROUND(L194*(R196-P196),0)*M194,0)*AC196,"")</f>
        <v/>
      </c>
      <c r="AG196" s="580">
        <f t="shared" si="246"/>
        <v>0</v>
      </c>
      <c r="AH196" s="459"/>
      <c r="AI196" s="460"/>
      <c r="AJ196" s="461"/>
      <c r="AK196" s="462"/>
      <c r="AL196" s="463"/>
      <c r="AM196" s="464"/>
      <c r="AN196" s="581" t="str">
        <f t="shared" ref="AN196" si="25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82" t="str">
        <f>IF(K194&lt;&gt;"","P列・R列に色付け","")</f>
        <v/>
      </c>
      <c r="AQ196" s="583"/>
      <c r="AR196" s="583"/>
      <c r="AX196" s="584"/>
      <c r="AY196" s="543" t="str">
        <f>G194</f>
        <v/>
      </c>
    </row>
    <row r="197" spans="1:51" ht="32.1" customHeight="1">
      <c r="A197" s="1225">
        <v>62</v>
      </c>
      <c r="B197" s="1222" t="str">
        <f>IF(基本情報入力シート!C115="","",基本情報入力シート!C115)</f>
        <v/>
      </c>
      <c r="C197" s="1222"/>
      <c r="D197" s="1222"/>
      <c r="E197" s="1222"/>
      <c r="F197" s="1222"/>
      <c r="G197" s="1234" t="str">
        <f>IF(基本情報入力シート!M115="","",基本情報入力シート!M115)</f>
        <v/>
      </c>
      <c r="H197" s="1234" t="str">
        <f>IF(基本情報入力シート!R115="","",基本情報入力シート!R115)</f>
        <v/>
      </c>
      <c r="I197" s="1234" t="str">
        <f>IF(基本情報入力シート!W115="","",基本情報入力シート!W115)</f>
        <v/>
      </c>
      <c r="J197" s="1234" t="str">
        <f>IF(基本情報入力シート!X115="","",基本情報入力シート!X115)</f>
        <v/>
      </c>
      <c r="K197" s="1234" t="str">
        <f>IF(基本情報入力シート!Y115="","",基本情報入力シート!Y115)</f>
        <v/>
      </c>
      <c r="L197" s="1237" t="str">
        <f>IF(基本情報入力シート!AB115="","",基本情報入力シート!AB115)</f>
        <v/>
      </c>
      <c r="M197" s="1292" t="str">
        <f>IF(基本情報入力シート!AC115="","",基本情報入力シート!AC115)</f>
        <v/>
      </c>
      <c r="N197" s="547" t="s">
        <v>183</v>
      </c>
      <c r="O197" s="151"/>
      <c r="P197" s="548" t="str">
        <f>IFERROR(VLOOKUP(K197,【参考】数式用!$A$5:$J$27,MATCH(O197,【参考】数式用!$B$4:$J$4,0)+1,0),"")</f>
        <v/>
      </c>
      <c r="Q197" s="151"/>
      <c r="R197" s="548" t="str">
        <f>IFERROR(VLOOKUP(K197,【参考】数式用!$A$5:$J$27,MATCH(Q197,【参考】数式用!$B$4:$J$4,0)+1,0),"")</f>
        <v/>
      </c>
      <c r="S197" s="549" t="s">
        <v>19</v>
      </c>
      <c r="T197" s="550">
        <v>6</v>
      </c>
      <c r="U197" s="202" t="s">
        <v>10</v>
      </c>
      <c r="V197" s="71">
        <v>4</v>
      </c>
      <c r="W197" s="202" t="s">
        <v>45</v>
      </c>
      <c r="X197" s="550">
        <v>6</v>
      </c>
      <c r="Y197" s="202" t="s">
        <v>10</v>
      </c>
      <c r="Z197" s="71">
        <v>5</v>
      </c>
      <c r="AA197" s="202" t="s">
        <v>13</v>
      </c>
      <c r="AB197" s="551" t="s">
        <v>24</v>
      </c>
      <c r="AC197" s="552">
        <f t="shared" si="208"/>
        <v>2</v>
      </c>
      <c r="AD197" s="202" t="s">
        <v>38</v>
      </c>
      <c r="AE197" s="553" t="str">
        <f>IFERROR(ROUNDDOWN(ROUND(L197*R197,0)*M197,0)*AC197,"")</f>
        <v/>
      </c>
      <c r="AF197" s="554" t="str">
        <f>IFERROR(ROUNDDOWN(ROUND(L197*(R197-P197),0)*M197,0)*AC197,"")</f>
        <v/>
      </c>
      <c r="AG197" s="555"/>
      <c r="AH197" s="465"/>
      <c r="AI197" s="473"/>
      <c r="AJ197" s="470"/>
      <c r="AK197" s="471"/>
      <c r="AL197" s="451"/>
      <c r="AM197" s="452"/>
      <c r="AN197" s="556" t="str">
        <f t="shared" ref="AN197" si="260">IF(AP197="","",IF(R197&lt;P197,"！加算の要件上は問題ありませんが、令和６年３月と比較して４・５月に加算率が下がる計画になっています。",""))</f>
        <v/>
      </c>
      <c r="AP197" s="557" t="str">
        <f>IF(K197&lt;&gt;"","P列・R列に色付け","")</f>
        <v/>
      </c>
      <c r="AQ197" s="558" t="str">
        <f>IFERROR(VLOOKUP(K197,【参考】数式用!$AJ$2:$AK$24,2,FALSE),"")</f>
        <v/>
      </c>
      <c r="AR197" s="560" t="str">
        <f>Q197&amp;Q198&amp;Q199</f>
        <v/>
      </c>
      <c r="AS197" s="558" t="str">
        <f t="shared" ref="AS197" si="261">IF(AG199&lt;&gt;0,IF(AH199="○","入力済","未入力"),"")</f>
        <v/>
      </c>
      <c r="AT197" s="559" t="str">
        <f>IF(OR(Q197="処遇加算Ⅰ",Q197="処遇加算Ⅱ"),IF(OR(AI197="○",AI197="令和６年度中に満たす"),"入力済","未入力"),"")</f>
        <v/>
      </c>
      <c r="AU197" s="560" t="str">
        <f>IF(Q197="処遇加算Ⅲ",IF(AJ197="○","入力済","未入力"),"")</f>
        <v/>
      </c>
      <c r="AV197" s="558" t="str">
        <f>IF(Q197="処遇加算Ⅰ",IF(OR(AK197="○",AK197="令和６年度中に満たす"),"入力済","未入力"),"")</f>
        <v/>
      </c>
      <c r="AW197" s="558"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43" t="str">
        <f>IF(Q198="特定加算Ⅰ",IF(AM198="","未入力","入力済"),"")</f>
        <v/>
      </c>
      <c r="AY197" s="543" t="str">
        <f>G197</f>
        <v/>
      </c>
    </row>
    <row r="198" spans="1:51" ht="32.1" customHeight="1">
      <c r="A198" s="1226"/>
      <c r="B198" s="1223"/>
      <c r="C198" s="1223"/>
      <c r="D198" s="1223"/>
      <c r="E198" s="1223"/>
      <c r="F198" s="1223"/>
      <c r="G198" s="1235"/>
      <c r="H198" s="1235"/>
      <c r="I198" s="1235"/>
      <c r="J198" s="1235"/>
      <c r="K198" s="1235"/>
      <c r="L198" s="1238"/>
      <c r="M198" s="1293"/>
      <c r="N198" s="561" t="s">
        <v>170</v>
      </c>
      <c r="O198" s="152"/>
      <c r="P198" s="562" t="str">
        <f>IFERROR(VLOOKUP(K197,【参考】数式用!$A$5:$J$27,MATCH(O198,【参考】数式用!$B$4:$J$4,0)+1,0),"")</f>
        <v/>
      </c>
      <c r="Q198" s="152"/>
      <c r="R198" s="562" t="str">
        <f>IFERROR(VLOOKUP(K197,【参考】数式用!$A$5:$J$27,MATCH(Q198,【参考】数式用!$B$4:$J$4,0)+1,0),"")</f>
        <v/>
      </c>
      <c r="S198" s="173" t="s">
        <v>19</v>
      </c>
      <c r="T198" s="563">
        <v>6</v>
      </c>
      <c r="U198" s="174" t="s">
        <v>10</v>
      </c>
      <c r="V198" s="109">
        <v>4</v>
      </c>
      <c r="W198" s="174" t="s">
        <v>45</v>
      </c>
      <c r="X198" s="563">
        <v>6</v>
      </c>
      <c r="Y198" s="174" t="s">
        <v>10</v>
      </c>
      <c r="Z198" s="109">
        <v>5</v>
      </c>
      <c r="AA198" s="174" t="s">
        <v>13</v>
      </c>
      <c r="AB198" s="564" t="s">
        <v>24</v>
      </c>
      <c r="AC198" s="565">
        <f t="shared" si="208"/>
        <v>2</v>
      </c>
      <c r="AD198" s="174" t="s">
        <v>38</v>
      </c>
      <c r="AE198" s="566" t="str">
        <f>IFERROR(ROUNDDOWN(ROUND(L197*R198,0)*M197,0)*AC198,"")</f>
        <v/>
      </c>
      <c r="AF198" s="567" t="str">
        <f>IFERROR(ROUNDDOWN(ROUND(L197*(R198-P198),0)*M197,0)*AC198,"")</f>
        <v/>
      </c>
      <c r="AG198" s="568"/>
      <c r="AH198" s="453"/>
      <c r="AI198" s="454"/>
      <c r="AJ198" s="455"/>
      <c r="AK198" s="456"/>
      <c r="AL198" s="457"/>
      <c r="AM198" s="458"/>
      <c r="AN198" s="569" t="str">
        <f t="shared" ref="AN198" si="262">IF(AP197="","",IF(OR(Z197=4,Z198=4,Z199=4),"！加算の要件上は問題ありませんが、算定期間の終わりが令和６年５月になっていません。区分変更の場合は、「基本情報入力シート」で同じ事業所を２行に分けて記入してください。",""))</f>
        <v/>
      </c>
      <c r="AO198" s="570"/>
      <c r="AP198" s="557" t="str">
        <f>IF(K197&lt;&gt;"","P列・R列に色付け","")</f>
        <v/>
      </c>
      <c r="AY198" s="543" t="str">
        <f>G197</f>
        <v/>
      </c>
    </row>
    <row r="199" spans="1:51" ht="32.1" customHeight="1" thickBot="1">
      <c r="A199" s="1227"/>
      <c r="B199" s="1224"/>
      <c r="C199" s="1224"/>
      <c r="D199" s="1224"/>
      <c r="E199" s="1224"/>
      <c r="F199" s="1224"/>
      <c r="G199" s="1236"/>
      <c r="H199" s="1236"/>
      <c r="I199" s="1236"/>
      <c r="J199" s="1236"/>
      <c r="K199" s="1236"/>
      <c r="L199" s="1239"/>
      <c r="M199" s="1294"/>
      <c r="N199" s="571" t="s">
        <v>140</v>
      </c>
      <c r="O199" s="155"/>
      <c r="P199" s="591" t="str">
        <f>IFERROR(VLOOKUP(K197,【参考】数式用!$A$5:$J$27,MATCH(O199,【参考】数式用!$B$4:$J$4,0)+1,0),"")</f>
        <v/>
      </c>
      <c r="Q199" s="153"/>
      <c r="R199" s="572" t="str">
        <f>IFERROR(VLOOKUP(K197,【参考】数式用!$A$5:$J$27,MATCH(Q199,【参考】数式用!$B$4:$J$4,0)+1,0),"")</f>
        <v/>
      </c>
      <c r="S199" s="573" t="s">
        <v>19</v>
      </c>
      <c r="T199" s="574">
        <v>6</v>
      </c>
      <c r="U199" s="575" t="s">
        <v>10</v>
      </c>
      <c r="V199" s="110">
        <v>4</v>
      </c>
      <c r="W199" s="575" t="s">
        <v>45</v>
      </c>
      <c r="X199" s="574">
        <v>6</v>
      </c>
      <c r="Y199" s="575" t="s">
        <v>10</v>
      </c>
      <c r="Z199" s="110">
        <v>5</v>
      </c>
      <c r="AA199" s="575" t="s">
        <v>13</v>
      </c>
      <c r="AB199" s="576" t="s">
        <v>24</v>
      </c>
      <c r="AC199" s="577">
        <f t="shared" si="208"/>
        <v>2</v>
      </c>
      <c r="AD199" s="575" t="s">
        <v>38</v>
      </c>
      <c r="AE199" s="590" t="str">
        <f>IFERROR(ROUNDDOWN(ROUND(L197*R199,0)*M197,0)*AC199,"")</f>
        <v/>
      </c>
      <c r="AF199" s="579" t="str">
        <f>IFERROR(ROUNDDOWN(ROUND(L197*(R199-P199),0)*M197,0)*AC199,"")</f>
        <v/>
      </c>
      <c r="AG199" s="580">
        <f t="shared" si="246"/>
        <v>0</v>
      </c>
      <c r="AH199" s="459"/>
      <c r="AI199" s="460"/>
      <c r="AJ199" s="461"/>
      <c r="AK199" s="462"/>
      <c r="AL199" s="463"/>
      <c r="AM199" s="464"/>
      <c r="AN199" s="581" t="str">
        <f t="shared" ref="AN199" si="263">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82" t="str">
        <f>IF(K197&lt;&gt;"","P列・R列に色付け","")</f>
        <v/>
      </c>
      <c r="AQ199" s="583"/>
      <c r="AR199" s="583"/>
      <c r="AX199" s="584"/>
      <c r="AY199" s="543" t="str">
        <f>G197</f>
        <v/>
      </c>
    </row>
    <row r="200" spans="1:51" ht="32.1" customHeight="1">
      <c r="A200" s="1225">
        <v>63</v>
      </c>
      <c r="B200" s="1222" t="str">
        <f>IF(基本情報入力シート!C116="","",基本情報入力シート!C116)</f>
        <v/>
      </c>
      <c r="C200" s="1222"/>
      <c r="D200" s="1222"/>
      <c r="E200" s="1222"/>
      <c r="F200" s="1222"/>
      <c r="G200" s="1234" t="str">
        <f>IF(基本情報入力シート!M116="","",基本情報入力シート!M116)</f>
        <v/>
      </c>
      <c r="H200" s="1234" t="str">
        <f>IF(基本情報入力シート!R116="","",基本情報入力シート!R116)</f>
        <v/>
      </c>
      <c r="I200" s="1234" t="str">
        <f>IF(基本情報入力シート!W116="","",基本情報入力シート!W116)</f>
        <v/>
      </c>
      <c r="J200" s="1234" t="str">
        <f>IF(基本情報入力シート!X116="","",基本情報入力シート!X116)</f>
        <v/>
      </c>
      <c r="K200" s="1234" t="str">
        <f>IF(基本情報入力シート!Y116="","",基本情報入力シート!Y116)</f>
        <v/>
      </c>
      <c r="L200" s="1237" t="str">
        <f>IF(基本情報入力シート!AB116="","",基本情報入力シート!AB116)</f>
        <v/>
      </c>
      <c r="M200" s="1292" t="str">
        <f>IF(基本情報入力シート!AC116="","",基本情報入力シート!AC116)</f>
        <v/>
      </c>
      <c r="N200" s="547" t="s">
        <v>183</v>
      </c>
      <c r="O200" s="151"/>
      <c r="P200" s="548" t="str">
        <f>IFERROR(VLOOKUP(K200,【参考】数式用!$A$5:$J$27,MATCH(O200,【参考】数式用!$B$4:$J$4,0)+1,0),"")</f>
        <v/>
      </c>
      <c r="Q200" s="151"/>
      <c r="R200" s="548" t="str">
        <f>IFERROR(VLOOKUP(K200,【参考】数式用!$A$5:$J$27,MATCH(Q200,【参考】数式用!$B$4:$J$4,0)+1,0),"")</f>
        <v/>
      </c>
      <c r="S200" s="549" t="s">
        <v>19</v>
      </c>
      <c r="T200" s="550">
        <v>6</v>
      </c>
      <c r="U200" s="202" t="s">
        <v>10</v>
      </c>
      <c r="V200" s="71">
        <v>4</v>
      </c>
      <c r="W200" s="202" t="s">
        <v>45</v>
      </c>
      <c r="X200" s="550">
        <v>6</v>
      </c>
      <c r="Y200" s="202" t="s">
        <v>10</v>
      </c>
      <c r="Z200" s="71">
        <v>5</v>
      </c>
      <c r="AA200" s="202" t="s">
        <v>13</v>
      </c>
      <c r="AB200" s="551" t="s">
        <v>24</v>
      </c>
      <c r="AC200" s="552">
        <f t="shared" si="208"/>
        <v>2</v>
      </c>
      <c r="AD200" s="202" t="s">
        <v>38</v>
      </c>
      <c r="AE200" s="553" t="str">
        <f>IFERROR(ROUNDDOWN(ROUND(L200*R200,0)*M200,0)*AC200,"")</f>
        <v/>
      </c>
      <c r="AF200" s="554" t="str">
        <f>IFERROR(ROUNDDOWN(ROUND(L200*(R200-P200),0)*M200,0)*AC200,"")</f>
        <v/>
      </c>
      <c r="AG200" s="555"/>
      <c r="AH200" s="465"/>
      <c r="AI200" s="473"/>
      <c r="AJ200" s="470"/>
      <c r="AK200" s="471"/>
      <c r="AL200" s="451"/>
      <c r="AM200" s="452"/>
      <c r="AN200" s="556" t="str">
        <f t="shared" ref="AN200" si="264">IF(AP200="","",IF(R200&lt;P200,"！加算の要件上は問題ありませんが、令和６年３月と比較して４・５月に加算率が下がる計画になっています。",""))</f>
        <v/>
      </c>
      <c r="AP200" s="557" t="str">
        <f>IF(K200&lt;&gt;"","P列・R列に色付け","")</f>
        <v/>
      </c>
      <c r="AQ200" s="558" t="str">
        <f>IFERROR(VLOOKUP(K200,【参考】数式用!$AJ$2:$AK$24,2,FALSE),"")</f>
        <v/>
      </c>
      <c r="AR200" s="560" t="str">
        <f>Q200&amp;Q201&amp;Q202</f>
        <v/>
      </c>
      <c r="AS200" s="558" t="str">
        <f t="shared" ref="AS200" si="265">IF(AG202&lt;&gt;0,IF(AH202="○","入力済","未入力"),"")</f>
        <v/>
      </c>
      <c r="AT200" s="559" t="str">
        <f>IF(OR(Q200="処遇加算Ⅰ",Q200="処遇加算Ⅱ"),IF(OR(AI200="○",AI200="令和６年度中に満たす"),"入力済","未入力"),"")</f>
        <v/>
      </c>
      <c r="AU200" s="560" t="str">
        <f>IF(Q200="処遇加算Ⅲ",IF(AJ200="○","入力済","未入力"),"")</f>
        <v/>
      </c>
      <c r="AV200" s="558" t="str">
        <f>IF(Q200="処遇加算Ⅰ",IF(OR(AK200="○",AK200="令和６年度中に満たす"),"入力済","未入力"),"")</f>
        <v/>
      </c>
      <c r="AW200" s="558"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43" t="str">
        <f>IF(Q201="特定加算Ⅰ",IF(AM201="","未入力","入力済"),"")</f>
        <v/>
      </c>
      <c r="AY200" s="543" t="str">
        <f>G200</f>
        <v/>
      </c>
    </row>
    <row r="201" spans="1:51" ht="32.1" customHeight="1">
      <c r="A201" s="1226"/>
      <c r="B201" s="1223"/>
      <c r="C201" s="1223"/>
      <c r="D201" s="1223"/>
      <c r="E201" s="1223"/>
      <c r="F201" s="1223"/>
      <c r="G201" s="1235"/>
      <c r="H201" s="1235"/>
      <c r="I201" s="1235"/>
      <c r="J201" s="1235"/>
      <c r="K201" s="1235"/>
      <c r="L201" s="1238"/>
      <c r="M201" s="1293"/>
      <c r="N201" s="561" t="s">
        <v>170</v>
      </c>
      <c r="O201" s="152"/>
      <c r="P201" s="562" t="str">
        <f>IFERROR(VLOOKUP(K200,【参考】数式用!$A$5:$J$27,MATCH(O201,【参考】数式用!$B$4:$J$4,0)+1,0),"")</f>
        <v/>
      </c>
      <c r="Q201" s="152"/>
      <c r="R201" s="562" t="str">
        <f>IFERROR(VLOOKUP(K200,【参考】数式用!$A$5:$J$27,MATCH(Q201,【参考】数式用!$B$4:$J$4,0)+1,0),"")</f>
        <v/>
      </c>
      <c r="S201" s="173" t="s">
        <v>19</v>
      </c>
      <c r="T201" s="563">
        <v>6</v>
      </c>
      <c r="U201" s="174" t="s">
        <v>10</v>
      </c>
      <c r="V201" s="109">
        <v>4</v>
      </c>
      <c r="W201" s="174" t="s">
        <v>45</v>
      </c>
      <c r="X201" s="563">
        <v>6</v>
      </c>
      <c r="Y201" s="174" t="s">
        <v>10</v>
      </c>
      <c r="Z201" s="109">
        <v>5</v>
      </c>
      <c r="AA201" s="174" t="s">
        <v>13</v>
      </c>
      <c r="AB201" s="564" t="s">
        <v>24</v>
      </c>
      <c r="AC201" s="565">
        <f t="shared" si="208"/>
        <v>2</v>
      </c>
      <c r="AD201" s="174" t="s">
        <v>38</v>
      </c>
      <c r="AE201" s="566" t="str">
        <f>IFERROR(ROUNDDOWN(ROUND(L200*R201,0)*M200,0)*AC201,"")</f>
        <v/>
      </c>
      <c r="AF201" s="567" t="str">
        <f>IFERROR(ROUNDDOWN(ROUND(L200*(R201-P201),0)*M200,0)*AC201,"")</f>
        <v/>
      </c>
      <c r="AG201" s="568"/>
      <c r="AH201" s="453"/>
      <c r="AI201" s="454"/>
      <c r="AJ201" s="455"/>
      <c r="AK201" s="456"/>
      <c r="AL201" s="457"/>
      <c r="AM201" s="458"/>
      <c r="AN201" s="569" t="str">
        <f t="shared" ref="AN201" si="266">IF(AP200="","",IF(OR(Z200=4,Z201=4,Z202=4),"！加算の要件上は問題ありませんが、算定期間の終わりが令和６年５月になっていません。区分変更の場合は、「基本情報入力シート」で同じ事業所を２行に分けて記入してください。",""))</f>
        <v/>
      </c>
      <c r="AO201" s="570"/>
      <c r="AP201" s="557" t="str">
        <f>IF(K200&lt;&gt;"","P列・R列に色付け","")</f>
        <v/>
      </c>
      <c r="AY201" s="543" t="str">
        <f>G200</f>
        <v/>
      </c>
    </row>
    <row r="202" spans="1:51" ht="32.1" customHeight="1" thickBot="1">
      <c r="A202" s="1227"/>
      <c r="B202" s="1224"/>
      <c r="C202" s="1224"/>
      <c r="D202" s="1224"/>
      <c r="E202" s="1224"/>
      <c r="F202" s="1224"/>
      <c r="G202" s="1236"/>
      <c r="H202" s="1236"/>
      <c r="I202" s="1236"/>
      <c r="J202" s="1236"/>
      <c r="K202" s="1236"/>
      <c r="L202" s="1239"/>
      <c r="M202" s="1294"/>
      <c r="N202" s="571" t="s">
        <v>140</v>
      </c>
      <c r="O202" s="155"/>
      <c r="P202" s="591" t="str">
        <f>IFERROR(VLOOKUP(K200,【参考】数式用!$A$5:$J$27,MATCH(O202,【参考】数式用!$B$4:$J$4,0)+1,0),"")</f>
        <v/>
      </c>
      <c r="Q202" s="153"/>
      <c r="R202" s="572" t="str">
        <f>IFERROR(VLOOKUP(K200,【参考】数式用!$A$5:$J$27,MATCH(Q202,【参考】数式用!$B$4:$J$4,0)+1,0),"")</f>
        <v/>
      </c>
      <c r="S202" s="573" t="s">
        <v>19</v>
      </c>
      <c r="T202" s="574">
        <v>6</v>
      </c>
      <c r="U202" s="575" t="s">
        <v>10</v>
      </c>
      <c r="V202" s="110">
        <v>4</v>
      </c>
      <c r="W202" s="575" t="s">
        <v>45</v>
      </c>
      <c r="X202" s="574">
        <v>6</v>
      </c>
      <c r="Y202" s="575" t="s">
        <v>10</v>
      </c>
      <c r="Z202" s="110">
        <v>5</v>
      </c>
      <c r="AA202" s="575" t="s">
        <v>13</v>
      </c>
      <c r="AB202" s="576" t="s">
        <v>24</v>
      </c>
      <c r="AC202" s="577">
        <f t="shared" si="208"/>
        <v>2</v>
      </c>
      <c r="AD202" s="575" t="s">
        <v>38</v>
      </c>
      <c r="AE202" s="590" t="str">
        <f>IFERROR(ROUNDDOWN(ROUND(L200*R202,0)*M200,0)*AC202,"")</f>
        <v/>
      </c>
      <c r="AF202" s="579" t="str">
        <f>IFERROR(ROUNDDOWN(ROUND(L200*(R202-P202),0)*M200,0)*AC202,"")</f>
        <v/>
      </c>
      <c r="AG202" s="580">
        <f t="shared" si="246"/>
        <v>0</v>
      </c>
      <c r="AH202" s="459"/>
      <c r="AI202" s="460"/>
      <c r="AJ202" s="461"/>
      <c r="AK202" s="462"/>
      <c r="AL202" s="463"/>
      <c r="AM202" s="464"/>
      <c r="AN202" s="581" t="str">
        <f t="shared" ref="AN202" si="267">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82" t="str">
        <f>IF(K200&lt;&gt;"","P列・R列に色付け","")</f>
        <v/>
      </c>
      <c r="AQ202" s="583"/>
      <c r="AR202" s="583"/>
      <c r="AX202" s="584"/>
      <c r="AY202" s="543" t="str">
        <f>G200</f>
        <v/>
      </c>
    </row>
    <row r="203" spans="1:51" ht="32.1" customHeight="1">
      <c r="A203" s="1225">
        <v>64</v>
      </c>
      <c r="B203" s="1222" t="str">
        <f>IF(基本情報入力シート!C117="","",基本情報入力シート!C117)</f>
        <v/>
      </c>
      <c r="C203" s="1222"/>
      <c r="D203" s="1222"/>
      <c r="E203" s="1222"/>
      <c r="F203" s="1222"/>
      <c r="G203" s="1234" t="str">
        <f>IF(基本情報入力シート!M117="","",基本情報入力シート!M117)</f>
        <v/>
      </c>
      <c r="H203" s="1234" t="str">
        <f>IF(基本情報入力シート!R117="","",基本情報入力シート!R117)</f>
        <v/>
      </c>
      <c r="I203" s="1234" t="str">
        <f>IF(基本情報入力シート!W117="","",基本情報入力シート!W117)</f>
        <v/>
      </c>
      <c r="J203" s="1234" t="str">
        <f>IF(基本情報入力シート!X117="","",基本情報入力シート!X117)</f>
        <v/>
      </c>
      <c r="K203" s="1234" t="str">
        <f>IF(基本情報入力シート!Y117="","",基本情報入力シート!Y117)</f>
        <v/>
      </c>
      <c r="L203" s="1237" t="str">
        <f>IF(基本情報入力シート!AB117="","",基本情報入力シート!AB117)</f>
        <v/>
      </c>
      <c r="M203" s="1292" t="str">
        <f>IF(基本情報入力シート!AC117="","",基本情報入力シート!AC117)</f>
        <v/>
      </c>
      <c r="N203" s="547" t="s">
        <v>183</v>
      </c>
      <c r="O203" s="151"/>
      <c r="P203" s="548" t="str">
        <f>IFERROR(VLOOKUP(K203,【参考】数式用!$A$5:$J$27,MATCH(O203,【参考】数式用!$B$4:$J$4,0)+1,0),"")</f>
        <v/>
      </c>
      <c r="Q203" s="151"/>
      <c r="R203" s="548" t="str">
        <f>IFERROR(VLOOKUP(K203,【参考】数式用!$A$5:$J$27,MATCH(Q203,【参考】数式用!$B$4:$J$4,0)+1,0),"")</f>
        <v/>
      </c>
      <c r="S203" s="549" t="s">
        <v>19</v>
      </c>
      <c r="T203" s="550">
        <v>6</v>
      </c>
      <c r="U203" s="202" t="s">
        <v>10</v>
      </c>
      <c r="V203" s="71">
        <v>4</v>
      </c>
      <c r="W203" s="202" t="s">
        <v>45</v>
      </c>
      <c r="X203" s="550">
        <v>6</v>
      </c>
      <c r="Y203" s="202" t="s">
        <v>10</v>
      </c>
      <c r="Z203" s="71">
        <v>5</v>
      </c>
      <c r="AA203" s="202" t="s">
        <v>13</v>
      </c>
      <c r="AB203" s="551" t="s">
        <v>24</v>
      </c>
      <c r="AC203" s="552">
        <f t="shared" si="208"/>
        <v>2</v>
      </c>
      <c r="AD203" s="202" t="s">
        <v>38</v>
      </c>
      <c r="AE203" s="553" t="str">
        <f>IFERROR(ROUNDDOWN(ROUND(L203*R203,0)*M203,0)*AC203,"")</f>
        <v/>
      </c>
      <c r="AF203" s="554" t="str">
        <f>IFERROR(ROUNDDOWN(ROUND(L203*(R203-P203),0)*M203,0)*AC203,"")</f>
        <v/>
      </c>
      <c r="AG203" s="555"/>
      <c r="AH203" s="465"/>
      <c r="AI203" s="473"/>
      <c r="AJ203" s="470"/>
      <c r="AK203" s="471"/>
      <c r="AL203" s="451"/>
      <c r="AM203" s="452"/>
      <c r="AN203" s="556" t="str">
        <f t="shared" ref="AN203" si="268">IF(AP203="","",IF(R203&lt;P203,"！加算の要件上は問題ありませんが、令和６年３月と比較して４・５月に加算率が下がる計画になっています。",""))</f>
        <v/>
      </c>
      <c r="AP203" s="557" t="str">
        <f>IF(K203&lt;&gt;"","P列・R列に色付け","")</f>
        <v/>
      </c>
      <c r="AQ203" s="558" t="str">
        <f>IFERROR(VLOOKUP(K203,【参考】数式用!$AJ$2:$AK$24,2,FALSE),"")</f>
        <v/>
      </c>
      <c r="AR203" s="560" t="str">
        <f>Q203&amp;Q204&amp;Q205</f>
        <v/>
      </c>
      <c r="AS203" s="558" t="str">
        <f t="shared" ref="AS203" si="269">IF(AG205&lt;&gt;0,IF(AH205="○","入力済","未入力"),"")</f>
        <v/>
      </c>
      <c r="AT203" s="559" t="str">
        <f>IF(OR(Q203="処遇加算Ⅰ",Q203="処遇加算Ⅱ"),IF(OR(AI203="○",AI203="令和６年度中に満たす"),"入力済","未入力"),"")</f>
        <v/>
      </c>
      <c r="AU203" s="560" t="str">
        <f>IF(Q203="処遇加算Ⅲ",IF(AJ203="○","入力済","未入力"),"")</f>
        <v/>
      </c>
      <c r="AV203" s="558" t="str">
        <f>IF(Q203="処遇加算Ⅰ",IF(OR(AK203="○",AK203="令和６年度中に満たす"),"入力済","未入力"),"")</f>
        <v/>
      </c>
      <c r="AW203" s="558"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43" t="str">
        <f>IF(Q204="特定加算Ⅰ",IF(AM204="","未入力","入力済"),"")</f>
        <v/>
      </c>
      <c r="AY203" s="543" t="str">
        <f>G203</f>
        <v/>
      </c>
    </row>
    <row r="204" spans="1:51" ht="32.1" customHeight="1">
      <c r="A204" s="1226"/>
      <c r="B204" s="1223"/>
      <c r="C204" s="1223"/>
      <c r="D204" s="1223"/>
      <c r="E204" s="1223"/>
      <c r="F204" s="1223"/>
      <c r="G204" s="1235"/>
      <c r="H204" s="1235"/>
      <c r="I204" s="1235"/>
      <c r="J204" s="1235"/>
      <c r="K204" s="1235"/>
      <c r="L204" s="1238"/>
      <c r="M204" s="1293"/>
      <c r="N204" s="561" t="s">
        <v>170</v>
      </c>
      <c r="O204" s="152"/>
      <c r="P204" s="562" t="str">
        <f>IFERROR(VLOOKUP(K203,【参考】数式用!$A$5:$J$27,MATCH(O204,【参考】数式用!$B$4:$J$4,0)+1,0),"")</f>
        <v/>
      </c>
      <c r="Q204" s="152"/>
      <c r="R204" s="562" t="str">
        <f>IFERROR(VLOOKUP(K203,【参考】数式用!$A$5:$J$27,MATCH(Q204,【参考】数式用!$B$4:$J$4,0)+1,0),"")</f>
        <v/>
      </c>
      <c r="S204" s="173" t="s">
        <v>19</v>
      </c>
      <c r="T204" s="563">
        <v>6</v>
      </c>
      <c r="U204" s="174" t="s">
        <v>10</v>
      </c>
      <c r="V204" s="109">
        <v>4</v>
      </c>
      <c r="W204" s="174" t="s">
        <v>45</v>
      </c>
      <c r="X204" s="563">
        <v>6</v>
      </c>
      <c r="Y204" s="174" t="s">
        <v>10</v>
      </c>
      <c r="Z204" s="109">
        <v>5</v>
      </c>
      <c r="AA204" s="174" t="s">
        <v>13</v>
      </c>
      <c r="AB204" s="564" t="s">
        <v>24</v>
      </c>
      <c r="AC204" s="565">
        <f t="shared" si="208"/>
        <v>2</v>
      </c>
      <c r="AD204" s="174" t="s">
        <v>38</v>
      </c>
      <c r="AE204" s="566" t="str">
        <f>IFERROR(ROUNDDOWN(ROUND(L203*R204,0)*M203,0)*AC204,"")</f>
        <v/>
      </c>
      <c r="AF204" s="567" t="str">
        <f>IFERROR(ROUNDDOWN(ROUND(L203*(R204-P204),0)*M203,0)*AC204,"")</f>
        <v/>
      </c>
      <c r="AG204" s="568"/>
      <c r="AH204" s="453"/>
      <c r="AI204" s="454"/>
      <c r="AJ204" s="455"/>
      <c r="AK204" s="456"/>
      <c r="AL204" s="457"/>
      <c r="AM204" s="458"/>
      <c r="AN204" s="569" t="str">
        <f t="shared" ref="AN204" si="270">IF(AP203="","",IF(OR(Z203=4,Z204=4,Z205=4),"！加算の要件上は問題ありませんが、算定期間の終わりが令和６年５月になっていません。区分変更の場合は、「基本情報入力シート」で同じ事業所を２行に分けて記入してください。",""))</f>
        <v/>
      </c>
      <c r="AO204" s="570"/>
      <c r="AP204" s="557" t="str">
        <f>IF(K203&lt;&gt;"","P列・R列に色付け","")</f>
        <v/>
      </c>
      <c r="AY204" s="543" t="str">
        <f>G203</f>
        <v/>
      </c>
    </row>
    <row r="205" spans="1:51" ht="32.1" customHeight="1" thickBot="1">
      <c r="A205" s="1227"/>
      <c r="B205" s="1224"/>
      <c r="C205" s="1224"/>
      <c r="D205" s="1224"/>
      <c r="E205" s="1224"/>
      <c r="F205" s="1224"/>
      <c r="G205" s="1236"/>
      <c r="H205" s="1236"/>
      <c r="I205" s="1236"/>
      <c r="J205" s="1236"/>
      <c r="K205" s="1236"/>
      <c r="L205" s="1239"/>
      <c r="M205" s="1294"/>
      <c r="N205" s="571" t="s">
        <v>140</v>
      </c>
      <c r="O205" s="155"/>
      <c r="P205" s="591" t="str">
        <f>IFERROR(VLOOKUP(K203,【参考】数式用!$A$5:$J$27,MATCH(O205,【参考】数式用!$B$4:$J$4,0)+1,0),"")</f>
        <v/>
      </c>
      <c r="Q205" s="153"/>
      <c r="R205" s="572" t="str">
        <f>IFERROR(VLOOKUP(K203,【参考】数式用!$A$5:$J$27,MATCH(Q205,【参考】数式用!$B$4:$J$4,0)+1,0),"")</f>
        <v/>
      </c>
      <c r="S205" s="573" t="s">
        <v>19</v>
      </c>
      <c r="T205" s="574">
        <v>6</v>
      </c>
      <c r="U205" s="575" t="s">
        <v>10</v>
      </c>
      <c r="V205" s="110">
        <v>4</v>
      </c>
      <c r="W205" s="575" t="s">
        <v>45</v>
      </c>
      <c r="X205" s="574">
        <v>6</v>
      </c>
      <c r="Y205" s="575" t="s">
        <v>10</v>
      </c>
      <c r="Z205" s="110">
        <v>5</v>
      </c>
      <c r="AA205" s="575" t="s">
        <v>13</v>
      </c>
      <c r="AB205" s="576" t="s">
        <v>24</v>
      </c>
      <c r="AC205" s="577">
        <f t="shared" si="208"/>
        <v>2</v>
      </c>
      <c r="AD205" s="575" t="s">
        <v>38</v>
      </c>
      <c r="AE205" s="590" t="str">
        <f>IFERROR(ROUNDDOWN(ROUND(L203*R205,0)*M203,0)*AC205,"")</f>
        <v/>
      </c>
      <c r="AF205" s="579" t="str">
        <f>IFERROR(ROUNDDOWN(ROUND(L203*(R205-P205),0)*M203,0)*AC205,"")</f>
        <v/>
      </c>
      <c r="AG205" s="580">
        <f t="shared" si="246"/>
        <v>0</v>
      </c>
      <c r="AH205" s="459"/>
      <c r="AI205" s="460"/>
      <c r="AJ205" s="461"/>
      <c r="AK205" s="462"/>
      <c r="AL205" s="463"/>
      <c r="AM205" s="464"/>
      <c r="AN205" s="581" t="str">
        <f t="shared" ref="AN205" si="271">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82" t="str">
        <f>IF(K203&lt;&gt;"","P列・R列に色付け","")</f>
        <v/>
      </c>
      <c r="AQ205" s="583"/>
      <c r="AR205" s="583"/>
      <c r="AX205" s="584"/>
      <c r="AY205" s="543" t="str">
        <f>G203</f>
        <v/>
      </c>
    </row>
    <row r="206" spans="1:51" ht="32.1" customHeight="1">
      <c r="A206" s="1225">
        <v>65</v>
      </c>
      <c r="B206" s="1222" t="str">
        <f>IF(基本情報入力シート!C118="","",基本情報入力シート!C118)</f>
        <v/>
      </c>
      <c r="C206" s="1222"/>
      <c r="D206" s="1222"/>
      <c r="E206" s="1222"/>
      <c r="F206" s="1222"/>
      <c r="G206" s="1234" t="str">
        <f>IF(基本情報入力シート!M118="","",基本情報入力シート!M118)</f>
        <v/>
      </c>
      <c r="H206" s="1234" t="str">
        <f>IF(基本情報入力シート!R118="","",基本情報入力シート!R118)</f>
        <v/>
      </c>
      <c r="I206" s="1234" t="str">
        <f>IF(基本情報入力シート!W118="","",基本情報入力シート!W118)</f>
        <v/>
      </c>
      <c r="J206" s="1234" t="str">
        <f>IF(基本情報入力シート!X118="","",基本情報入力シート!X118)</f>
        <v/>
      </c>
      <c r="K206" s="1234" t="str">
        <f>IF(基本情報入力シート!Y118="","",基本情報入力シート!Y118)</f>
        <v/>
      </c>
      <c r="L206" s="1237" t="str">
        <f>IF(基本情報入力シート!AB118="","",基本情報入力シート!AB118)</f>
        <v/>
      </c>
      <c r="M206" s="1292" t="str">
        <f>IF(基本情報入力シート!AC118="","",基本情報入力シート!AC118)</f>
        <v/>
      </c>
      <c r="N206" s="547" t="s">
        <v>183</v>
      </c>
      <c r="O206" s="151"/>
      <c r="P206" s="548" t="str">
        <f>IFERROR(VLOOKUP(K206,【参考】数式用!$A$5:$J$27,MATCH(O206,【参考】数式用!$B$4:$J$4,0)+1,0),"")</f>
        <v/>
      </c>
      <c r="Q206" s="151"/>
      <c r="R206" s="548" t="str">
        <f>IFERROR(VLOOKUP(K206,【参考】数式用!$A$5:$J$27,MATCH(Q206,【参考】数式用!$B$4:$J$4,0)+1,0),"")</f>
        <v/>
      </c>
      <c r="S206" s="549" t="s">
        <v>19</v>
      </c>
      <c r="T206" s="550">
        <v>6</v>
      </c>
      <c r="U206" s="202" t="s">
        <v>10</v>
      </c>
      <c r="V206" s="71">
        <v>4</v>
      </c>
      <c r="W206" s="202" t="s">
        <v>45</v>
      </c>
      <c r="X206" s="550">
        <v>6</v>
      </c>
      <c r="Y206" s="202" t="s">
        <v>10</v>
      </c>
      <c r="Z206" s="71">
        <v>5</v>
      </c>
      <c r="AA206" s="202" t="s">
        <v>13</v>
      </c>
      <c r="AB206" s="551" t="s">
        <v>24</v>
      </c>
      <c r="AC206" s="552">
        <f t="shared" si="208"/>
        <v>2</v>
      </c>
      <c r="AD206" s="202" t="s">
        <v>38</v>
      </c>
      <c r="AE206" s="553" t="str">
        <f>IFERROR(ROUNDDOWN(ROUND(L206*R206,0)*M206,0)*AC206,"")</f>
        <v/>
      </c>
      <c r="AF206" s="554" t="str">
        <f>IFERROR(ROUNDDOWN(ROUND(L206*(R206-P206),0)*M206,0)*AC206,"")</f>
        <v/>
      </c>
      <c r="AG206" s="555"/>
      <c r="AH206" s="465"/>
      <c r="AI206" s="473"/>
      <c r="AJ206" s="470"/>
      <c r="AK206" s="471"/>
      <c r="AL206" s="451"/>
      <c r="AM206" s="452"/>
      <c r="AN206" s="556" t="str">
        <f t="shared" ref="AN206" si="272">IF(AP206="","",IF(R206&lt;P206,"！加算の要件上は問題ありませんが、令和６年３月と比較して４・５月に加算率が下がる計画になっています。",""))</f>
        <v/>
      </c>
      <c r="AP206" s="557" t="str">
        <f>IF(K206&lt;&gt;"","P列・R列に色付け","")</f>
        <v/>
      </c>
      <c r="AQ206" s="558" t="str">
        <f>IFERROR(VLOOKUP(K206,【参考】数式用!$AJ$2:$AK$24,2,FALSE),"")</f>
        <v/>
      </c>
      <c r="AR206" s="560" t="str">
        <f>Q206&amp;Q207&amp;Q208</f>
        <v/>
      </c>
      <c r="AS206" s="558" t="str">
        <f t="shared" ref="AS206" si="273">IF(AG208&lt;&gt;0,IF(AH208="○","入力済","未入力"),"")</f>
        <v/>
      </c>
      <c r="AT206" s="559" t="str">
        <f>IF(OR(Q206="処遇加算Ⅰ",Q206="処遇加算Ⅱ"),IF(OR(AI206="○",AI206="令和６年度中に満たす"),"入力済","未入力"),"")</f>
        <v/>
      </c>
      <c r="AU206" s="560" t="str">
        <f>IF(Q206="処遇加算Ⅲ",IF(AJ206="○","入力済","未入力"),"")</f>
        <v/>
      </c>
      <c r="AV206" s="558" t="str">
        <f>IF(Q206="処遇加算Ⅰ",IF(OR(AK206="○",AK206="令和６年度中に満たす"),"入力済","未入力"),"")</f>
        <v/>
      </c>
      <c r="AW206" s="558"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43" t="str">
        <f>IF(Q207="特定加算Ⅰ",IF(AM207="","未入力","入力済"),"")</f>
        <v/>
      </c>
      <c r="AY206" s="543" t="str">
        <f>G206</f>
        <v/>
      </c>
    </row>
    <row r="207" spans="1:51" ht="32.1" customHeight="1">
      <c r="A207" s="1226"/>
      <c r="B207" s="1223"/>
      <c r="C207" s="1223"/>
      <c r="D207" s="1223"/>
      <c r="E207" s="1223"/>
      <c r="F207" s="1223"/>
      <c r="G207" s="1235"/>
      <c r="H207" s="1235"/>
      <c r="I207" s="1235"/>
      <c r="J207" s="1235"/>
      <c r="K207" s="1235"/>
      <c r="L207" s="1238"/>
      <c r="M207" s="1293"/>
      <c r="N207" s="561" t="s">
        <v>170</v>
      </c>
      <c r="O207" s="152"/>
      <c r="P207" s="562" t="str">
        <f>IFERROR(VLOOKUP(K206,【参考】数式用!$A$5:$J$27,MATCH(O207,【参考】数式用!$B$4:$J$4,0)+1,0),"")</f>
        <v/>
      </c>
      <c r="Q207" s="152"/>
      <c r="R207" s="562" t="str">
        <f>IFERROR(VLOOKUP(K206,【参考】数式用!$A$5:$J$27,MATCH(Q207,【参考】数式用!$B$4:$J$4,0)+1,0),"")</f>
        <v/>
      </c>
      <c r="S207" s="173" t="s">
        <v>19</v>
      </c>
      <c r="T207" s="563">
        <v>6</v>
      </c>
      <c r="U207" s="174" t="s">
        <v>10</v>
      </c>
      <c r="V207" s="109">
        <v>4</v>
      </c>
      <c r="W207" s="174" t="s">
        <v>45</v>
      </c>
      <c r="X207" s="563">
        <v>6</v>
      </c>
      <c r="Y207" s="174" t="s">
        <v>10</v>
      </c>
      <c r="Z207" s="109">
        <v>5</v>
      </c>
      <c r="AA207" s="174" t="s">
        <v>13</v>
      </c>
      <c r="AB207" s="564" t="s">
        <v>24</v>
      </c>
      <c r="AC207" s="565">
        <f t="shared" si="208"/>
        <v>2</v>
      </c>
      <c r="AD207" s="174" t="s">
        <v>38</v>
      </c>
      <c r="AE207" s="566" t="str">
        <f>IFERROR(ROUNDDOWN(ROUND(L206*R207,0)*M206,0)*AC207,"")</f>
        <v/>
      </c>
      <c r="AF207" s="567" t="str">
        <f>IFERROR(ROUNDDOWN(ROUND(L206*(R207-P207),0)*M206,0)*AC207,"")</f>
        <v/>
      </c>
      <c r="AG207" s="568"/>
      <c r="AH207" s="453"/>
      <c r="AI207" s="454"/>
      <c r="AJ207" s="455"/>
      <c r="AK207" s="456"/>
      <c r="AL207" s="457"/>
      <c r="AM207" s="458"/>
      <c r="AN207" s="569" t="str">
        <f t="shared" ref="AN207" si="274">IF(AP206="","",IF(OR(Z206=4,Z207=4,Z208=4),"！加算の要件上は問題ありませんが、算定期間の終わりが令和６年５月になっていません。区分変更の場合は、「基本情報入力シート」で同じ事業所を２行に分けて記入してください。",""))</f>
        <v/>
      </c>
      <c r="AO207" s="570"/>
      <c r="AP207" s="557" t="str">
        <f>IF(K206&lt;&gt;"","P列・R列に色付け","")</f>
        <v/>
      </c>
      <c r="AY207" s="543" t="str">
        <f>G206</f>
        <v/>
      </c>
    </row>
    <row r="208" spans="1:51" ht="32.1" customHeight="1" thickBot="1">
      <c r="A208" s="1227"/>
      <c r="B208" s="1224"/>
      <c r="C208" s="1224"/>
      <c r="D208" s="1224"/>
      <c r="E208" s="1224"/>
      <c r="F208" s="1224"/>
      <c r="G208" s="1236"/>
      <c r="H208" s="1236"/>
      <c r="I208" s="1236"/>
      <c r="J208" s="1236"/>
      <c r="K208" s="1236"/>
      <c r="L208" s="1239"/>
      <c r="M208" s="1294"/>
      <c r="N208" s="571" t="s">
        <v>140</v>
      </c>
      <c r="O208" s="155"/>
      <c r="P208" s="591" t="str">
        <f>IFERROR(VLOOKUP(K206,【参考】数式用!$A$5:$J$27,MATCH(O208,【参考】数式用!$B$4:$J$4,0)+1,0),"")</f>
        <v/>
      </c>
      <c r="Q208" s="153"/>
      <c r="R208" s="572" t="str">
        <f>IFERROR(VLOOKUP(K206,【参考】数式用!$A$5:$J$27,MATCH(Q208,【参考】数式用!$B$4:$J$4,0)+1,0),"")</f>
        <v/>
      </c>
      <c r="S208" s="573" t="s">
        <v>19</v>
      </c>
      <c r="T208" s="574">
        <v>6</v>
      </c>
      <c r="U208" s="575" t="s">
        <v>10</v>
      </c>
      <c r="V208" s="110">
        <v>4</v>
      </c>
      <c r="W208" s="575" t="s">
        <v>45</v>
      </c>
      <c r="X208" s="574">
        <v>6</v>
      </c>
      <c r="Y208" s="575" t="s">
        <v>10</v>
      </c>
      <c r="Z208" s="110">
        <v>5</v>
      </c>
      <c r="AA208" s="575" t="s">
        <v>13</v>
      </c>
      <c r="AB208" s="576" t="s">
        <v>24</v>
      </c>
      <c r="AC208" s="577">
        <f t="shared" si="208"/>
        <v>2</v>
      </c>
      <c r="AD208" s="575" t="s">
        <v>38</v>
      </c>
      <c r="AE208" s="590" t="str">
        <f>IFERROR(ROUNDDOWN(ROUND(L206*R208,0)*M206,0)*AC208,"")</f>
        <v/>
      </c>
      <c r="AF208" s="579" t="str">
        <f>IFERROR(ROUNDDOWN(ROUND(L206*(R208-P208),0)*M206,0)*AC208,"")</f>
        <v/>
      </c>
      <c r="AG208" s="580">
        <f t="shared" si="246"/>
        <v>0</v>
      </c>
      <c r="AH208" s="459"/>
      <c r="AI208" s="460"/>
      <c r="AJ208" s="461"/>
      <c r="AK208" s="462"/>
      <c r="AL208" s="463"/>
      <c r="AM208" s="464"/>
      <c r="AN208" s="581" t="str">
        <f t="shared" ref="AN208" si="275">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82" t="str">
        <f>IF(K206&lt;&gt;"","P列・R列に色付け","")</f>
        <v/>
      </c>
      <c r="AQ208" s="583"/>
      <c r="AR208" s="583"/>
      <c r="AX208" s="584"/>
      <c r="AY208" s="543" t="str">
        <f>G206</f>
        <v/>
      </c>
    </row>
    <row r="209" spans="1:51" ht="32.1" customHeight="1">
      <c r="A209" s="1225">
        <v>66</v>
      </c>
      <c r="B209" s="1222" t="str">
        <f>IF(基本情報入力シート!C119="","",基本情報入力シート!C119)</f>
        <v/>
      </c>
      <c r="C209" s="1222"/>
      <c r="D209" s="1222"/>
      <c r="E209" s="1222"/>
      <c r="F209" s="1222"/>
      <c r="G209" s="1234" t="str">
        <f>IF(基本情報入力シート!M119="","",基本情報入力シート!M119)</f>
        <v/>
      </c>
      <c r="H209" s="1234" t="str">
        <f>IF(基本情報入力シート!R119="","",基本情報入力シート!R119)</f>
        <v/>
      </c>
      <c r="I209" s="1234" t="str">
        <f>IF(基本情報入力シート!W119="","",基本情報入力シート!W119)</f>
        <v/>
      </c>
      <c r="J209" s="1234" t="str">
        <f>IF(基本情報入力シート!X119="","",基本情報入力シート!X119)</f>
        <v/>
      </c>
      <c r="K209" s="1234" t="str">
        <f>IF(基本情報入力シート!Y119="","",基本情報入力シート!Y119)</f>
        <v/>
      </c>
      <c r="L209" s="1237" t="str">
        <f>IF(基本情報入力シート!AB119="","",基本情報入力シート!AB119)</f>
        <v/>
      </c>
      <c r="M209" s="1292" t="str">
        <f>IF(基本情報入力シート!AC119="","",基本情報入力シート!AC119)</f>
        <v/>
      </c>
      <c r="N209" s="547" t="s">
        <v>183</v>
      </c>
      <c r="O209" s="151"/>
      <c r="P209" s="548" t="str">
        <f>IFERROR(VLOOKUP(K209,【参考】数式用!$A$5:$J$27,MATCH(O209,【参考】数式用!$B$4:$J$4,0)+1,0),"")</f>
        <v/>
      </c>
      <c r="Q209" s="151"/>
      <c r="R209" s="548" t="str">
        <f>IFERROR(VLOOKUP(K209,【参考】数式用!$A$5:$J$27,MATCH(Q209,【参考】数式用!$B$4:$J$4,0)+1,0),"")</f>
        <v/>
      </c>
      <c r="S209" s="549" t="s">
        <v>19</v>
      </c>
      <c r="T209" s="550">
        <v>6</v>
      </c>
      <c r="U209" s="202" t="s">
        <v>10</v>
      </c>
      <c r="V209" s="71">
        <v>4</v>
      </c>
      <c r="W209" s="202" t="s">
        <v>45</v>
      </c>
      <c r="X209" s="550">
        <v>6</v>
      </c>
      <c r="Y209" s="202" t="s">
        <v>10</v>
      </c>
      <c r="Z209" s="71">
        <v>5</v>
      </c>
      <c r="AA209" s="202" t="s">
        <v>13</v>
      </c>
      <c r="AB209" s="551" t="s">
        <v>24</v>
      </c>
      <c r="AC209" s="552">
        <f t="shared" si="208"/>
        <v>2</v>
      </c>
      <c r="AD209" s="202" t="s">
        <v>38</v>
      </c>
      <c r="AE209" s="553" t="str">
        <f>IFERROR(ROUNDDOWN(ROUND(L209*R209,0)*M209,0)*AC209,"")</f>
        <v/>
      </c>
      <c r="AF209" s="554" t="str">
        <f>IFERROR(ROUNDDOWN(ROUND(L209*(R209-P209),0)*M209,0)*AC209,"")</f>
        <v/>
      </c>
      <c r="AG209" s="555"/>
      <c r="AH209" s="465"/>
      <c r="AI209" s="473"/>
      <c r="AJ209" s="470"/>
      <c r="AK209" s="471"/>
      <c r="AL209" s="451"/>
      <c r="AM209" s="452"/>
      <c r="AN209" s="556" t="str">
        <f t="shared" ref="AN209" si="276">IF(AP209="","",IF(R209&lt;P209,"！加算の要件上は問題ありませんが、令和６年３月と比較して４・５月に加算率が下がる計画になっています。",""))</f>
        <v/>
      </c>
      <c r="AP209" s="557" t="str">
        <f>IF(K209&lt;&gt;"","P列・R列に色付け","")</f>
        <v/>
      </c>
      <c r="AQ209" s="558" t="str">
        <f>IFERROR(VLOOKUP(K209,【参考】数式用!$AJ$2:$AK$24,2,FALSE),"")</f>
        <v/>
      </c>
      <c r="AR209" s="560" t="str">
        <f>Q209&amp;Q210&amp;Q211</f>
        <v/>
      </c>
      <c r="AS209" s="558" t="str">
        <f t="shared" ref="AS209" si="277">IF(AG211&lt;&gt;0,IF(AH211="○","入力済","未入力"),"")</f>
        <v/>
      </c>
      <c r="AT209" s="559" t="str">
        <f>IF(OR(Q209="処遇加算Ⅰ",Q209="処遇加算Ⅱ"),IF(OR(AI209="○",AI209="令和６年度中に満たす"),"入力済","未入力"),"")</f>
        <v/>
      </c>
      <c r="AU209" s="560" t="str">
        <f>IF(Q209="処遇加算Ⅲ",IF(AJ209="○","入力済","未入力"),"")</f>
        <v/>
      </c>
      <c r="AV209" s="558" t="str">
        <f>IF(Q209="処遇加算Ⅰ",IF(OR(AK209="○",AK209="令和６年度中に満たす"),"入力済","未入力"),"")</f>
        <v/>
      </c>
      <c r="AW209" s="558"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43" t="str">
        <f>IF(Q210="特定加算Ⅰ",IF(AM210="","未入力","入力済"),"")</f>
        <v/>
      </c>
      <c r="AY209" s="543" t="str">
        <f>G209</f>
        <v/>
      </c>
    </row>
    <row r="210" spans="1:51" ht="32.1" customHeight="1">
      <c r="A210" s="1226"/>
      <c r="B210" s="1223"/>
      <c r="C210" s="1223"/>
      <c r="D210" s="1223"/>
      <c r="E210" s="1223"/>
      <c r="F210" s="1223"/>
      <c r="G210" s="1235"/>
      <c r="H210" s="1235"/>
      <c r="I210" s="1235"/>
      <c r="J210" s="1235"/>
      <c r="K210" s="1235"/>
      <c r="L210" s="1238"/>
      <c r="M210" s="1293"/>
      <c r="N210" s="561" t="s">
        <v>170</v>
      </c>
      <c r="O210" s="152"/>
      <c r="P210" s="562" t="str">
        <f>IFERROR(VLOOKUP(K209,【参考】数式用!$A$5:$J$27,MATCH(O210,【参考】数式用!$B$4:$J$4,0)+1,0),"")</f>
        <v/>
      </c>
      <c r="Q210" s="152"/>
      <c r="R210" s="562" t="str">
        <f>IFERROR(VLOOKUP(K209,【参考】数式用!$A$5:$J$27,MATCH(Q210,【参考】数式用!$B$4:$J$4,0)+1,0),"")</f>
        <v/>
      </c>
      <c r="S210" s="173" t="s">
        <v>19</v>
      </c>
      <c r="T210" s="563">
        <v>6</v>
      </c>
      <c r="U210" s="174" t="s">
        <v>10</v>
      </c>
      <c r="V210" s="109">
        <v>4</v>
      </c>
      <c r="W210" s="174" t="s">
        <v>45</v>
      </c>
      <c r="X210" s="563">
        <v>6</v>
      </c>
      <c r="Y210" s="174" t="s">
        <v>10</v>
      </c>
      <c r="Z210" s="109">
        <v>5</v>
      </c>
      <c r="AA210" s="174" t="s">
        <v>13</v>
      </c>
      <c r="AB210" s="564" t="s">
        <v>24</v>
      </c>
      <c r="AC210" s="565">
        <f t="shared" si="208"/>
        <v>2</v>
      </c>
      <c r="AD210" s="174" t="s">
        <v>38</v>
      </c>
      <c r="AE210" s="566" t="str">
        <f>IFERROR(ROUNDDOWN(ROUND(L209*R210,0)*M209,0)*AC210,"")</f>
        <v/>
      </c>
      <c r="AF210" s="567" t="str">
        <f>IFERROR(ROUNDDOWN(ROUND(L209*(R210-P210),0)*M209,0)*AC210,"")</f>
        <v/>
      </c>
      <c r="AG210" s="568"/>
      <c r="AH210" s="453"/>
      <c r="AI210" s="454"/>
      <c r="AJ210" s="455"/>
      <c r="AK210" s="456"/>
      <c r="AL210" s="457"/>
      <c r="AM210" s="458"/>
      <c r="AN210" s="569" t="str">
        <f t="shared" ref="AN210" si="278">IF(AP209="","",IF(OR(Z209=4,Z210=4,Z211=4),"！加算の要件上は問題ありませんが、算定期間の終わりが令和６年５月になっていません。区分変更の場合は、「基本情報入力シート」で同じ事業所を２行に分けて記入してください。",""))</f>
        <v/>
      </c>
      <c r="AO210" s="570"/>
      <c r="AP210" s="557" t="str">
        <f>IF(K209&lt;&gt;"","P列・R列に色付け","")</f>
        <v/>
      </c>
      <c r="AY210" s="543" t="str">
        <f>G209</f>
        <v/>
      </c>
    </row>
    <row r="211" spans="1:51" ht="32.1" customHeight="1" thickBot="1">
      <c r="A211" s="1227"/>
      <c r="B211" s="1224"/>
      <c r="C211" s="1224"/>
      <c r="D211" s="1224"/>
      <c r="E211" s="1224"/>
      <c r="F211" s="1224"/>
      <c r="G211" s="1236"/>
      <c r="H211" s="1236"/>
      <c r="I211" s="1236"/>
      <c r="J211" s="1236"/>
      <c r="K211" s="1236"/>
      <c r="L211" s="1239"/>
      <c r="M211" s="1294"/>
      <c r="N211" s="571" t="s">
        <v>140</v>
      </c>
      <c r="O211" s="155"/>
      <c r="P211" s="591" t="str">
        <f>IFERROR(VLOOKUP(K209,【参考】数式用!$A$5:$J$27,MATCH(O211,【参考】数式用!$B$4:$J$4,0)+1,0),"")</f>
        <v/>
      </c>
      <c r="Q211" s="153"/>
      <c r="R211" s="572" t="str">
        <f>IFERROR(VLOOKUP(K209,【参考】数式用!$A$5:$J$27,MATCH(Q211,【参考】数式用!$B$4:$J$4,0)+1,0),"")</f>
        <v/>
      </c>
      <c r="S211" s="573" t="s">
        <v>19</v>
      </c>
      <c r="T211" s="574">
        <v>6</v>
      </c>
      <c r="U211" s="575" t="s">
        <v>10</v>
      </c>
      <c r="V211" s="110">
        <v>4</v>
      </c>
      <c r="W211" s="575" t="s">
        <v>45</v>
      </c>
      <c r="X211" s="574">
        <v>6</v>
      </c>
      <c r="Y211" s="575" t="s">
        <v>10</v>
      </c>
      <c r="Z211" s="110">
        <v>5</v>
      </c>
      <c r="AA211" s="575" t="s">
        <v>13</v>
      </c>
      <c r="AB211" s="576" t="s">
        <v>24</v>
      </c>
      <c r="AC211" s="577">
        <f t="shared" si="208"/>
        <v>2</v>
      </c>
      <c r="AD211" s="575" t="s">
        <v>38</v>
      </c>
      <c r="AE211" s="590" t="str">
        <f>IFERROR(ROUNDDOWN(ROUND(L209*R211,0)*M209,0)*AC211,"")</f>
        <v/>
      </c>
      <c r="AF211" s="579" t="str">
        <f>IFERROR(ROUNDDOWN(ROUND(L209*(R211-P211),0)*M209,0)*AC211,"")</f>
        <v/>
      </c>
      <c r="AG211" s="580">
        <f t="shared" si="246"/>
        <v>0</v>
      </c>
      <c r="AH211" s="459"/>
      <c r="AI211" s="460"/>
      <c r="AJ211" s="461"/>
      <c r="AK211" s="462"/>
      <c r="AL211" s="463"/>
      <c r="AM211" s="464"/>
      <c r="AN211" s="581" t="str">
        <f t="shared" ref="AN211" si="279">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82" t="str">
        <f>IF(K209&lt;&gt;"","P列・R列に色付け","")</f>
        <v/>
      </c>
      <c r="AQ211" s="583"/>
      <c r="AR211" s="583"/>
      <c r="AX211" s="584"/>
      <c r="AY211" s="543" t="str">
        <f>G209</f>
        <v/>
      </c>
    </row>
    <row r="212" spans="1:51" ht="32.1" customHeight="1">
      <c r="A212" s="1225">
        <v>67</v>
      </c>
      <c r="B212" s="1222" t="str">
        <f>IF(基本情報入力シート!C120="","",基本情報入力シート!C120)</f>
        <v/>
      </c>
      <c r="C212" s="1222"/>
      <c r="D212" s="1222"/>
      <c r="E212" s="1222"/>
      <c r="F212" s="1222"/>
      <c r="G212" s="1234" t="str">
        <f>IF(基本情報入力シート!M120="","",基本情報入力シート!M120)</f>
        <v/>
      </c>
      <c r="H212" s="1234" t="str">
        <f>IF(基本情報入力シート!R120="","",基本情報入力シート!R120)</f>
        <v/>
      </c>
      <c r="I212" s="1234" t="str">
        <f>IF(基本情報入力シート!W120="","",基本情報入力シート!W120)</f>
        <v/>
      </c>
      <c r="J212" s="1234" t="str">
        <f>IF(基本情報入力シート!X120="","",基本情報入力シート!X120)</f>
        <v/>
      </c>
      <c r="K212" s="1234" t="str">
        <f>IF(基本情報入力シート!Y120="","",基本情報入力シート!Y120)</f>
        <v/>
      </c>
      <c r="L212" s="1237" t="str">
        <f>IF(基本情報入力シート!AB120="","",基本情報入力シート!AB120)</f>
        <v/>
      </c>
      <c r="M212" s="1292" t="str">
        <f>IF(基本情報入力シート!AC120="","",基本情報入力シート!AC120)</f>
        <v/>
      </c>
      <c r="N212" s="547" t="s">
        <v>183</v>
      </c>
      <c r="O212" s="151"/>
      <c r="P212" s="548" t="str">
        <f>IFERROR(VLOOKUP(K212,【参考】数式用!$A$5:$J$27,MATCH(O212,【参考】数式用!$B$4:$J$4,0)+1,0),"")</f>
        <v/>
      </c>
      <c r="Q212" s="151"/>
      <c r="R212" s="548" t="str">
        <f>IFERROR(VLOOKUP(K212,【参考】数式用!$A$5:$J$27,MATCH(Q212,【参考】数式用!$B$4:$J$4,0)+1,0),"")</f>
        <v/>
      </c>
      <c r="S212" s="549" t="s">
        <v>19</v>
      </c>
      <c r="T212" s="550">
        <v>6</v>
      </c>
      <c r="U212" s="202" t="s">
        <v>10</v>
      </c>
      <c r="V212" s="71">
        <v>4</v>
      </c>
      <c r="W212" s="202" t="s">
        <v>45</v>
      </c>
      <c r="X212" s="550">
        <v>6</v>
      </c>
      <c r="Y212" s="202" t="s">
        <v>10</v>
      </c>
      <c r="Z212" s="71">
        <v>5</v>
      </c>
      <c r="AA212" s="202" t="s">
        <v>13</v>
      </c>
      <c r="AB212" s="551" t="s">
        <v>24</v>
      </c>
      <c r="AC212" s="552">
        <f t="shared" si="208"/>
        <v>2</v>
      </c>
      <c r="AD212" s="202" t="s">
        <v>38</v>
      </c>
      <c r="AE212" s="553" t="str">
        <f>IFERROR(ROUNDDOWN(ROUND(L212*R212,0)*M212,0)*AC212,"")</f>
        <v/>
      </c>
      <c r="AF212" s="554" t="str">
        <f>IFERROR(ROUNDDOWN(ROUND(L212*(R212-P212),0)*M212,0)*AC212,"")</f>
        <v/>
      </c>
      <c r="AG212" s="555"/>
      <c r="AH212" s="465"/>
      <c r="AI212" s="473"/>
      <c r="AJ212" s="470"/>
      <c r="AK212" s="471"/>
      <c r="AL212" s="451"/>
      <c r="AM212" s="452"/>
      <c r="AN212" s="556" t="str">
        <f t="shared" ref="AN212" si="280">IF(AP212="","",IF(R212&lt;P212,"！加算の要件上は問題ありませんが、令和６年３月と比較して４・５月に加算率が下がる計画になっています。",""))</f>
        <v/>
      </c>
      <c r="AP212" s="557" t="str">
        <f>IF(K212&lt;&gt;"","P列・R列に色付け","")</f>
        <v/>
      </c>
      <c r="AQ212" s="558" t="str">
        <f>IFERROR(VLOOKUP(K212,【参考】数式用!$AJ$2:$AK$24,2,FALSE),"")</f>
        <v/>
      </c>
      <c r="AR212" s="560" t="str">
        <f>Q212&amp;Q213&amp;Q214</f>
        <v/>
      </c>
      <c r="AS212" s="558" t="str">
        <f t="shared" ref="AS212" si="281">IF(AG214&lt;&gt;0,IF(AH214="○","入力済","未入力"),"")</f>
        <v/>
      </c>
      <c r="AT212" s="559" t="str">
        <f>IF(OR(Q212="処遇加算Ⅰ",Q212="処遇加算Ⅱ"),IF(OR(AI212="○",AI212="令和６年度中に満たす"),"入力済","未入力"),"")</f>
        <v/>
      </c>
      <c r="AU212" s="560" t="str">
        <f>IF(Q212="処遇加算Ⅲ",IF(AJ212="○","入力済","未入力"),"")</f>
        <v/>
      </c>
      <c r="AV212" s="558" t="str">
        <f>IF(Q212="処遇加算Ⅰ",IF(OR(AK212="○",AK212="令和６年度中に満たす"),"入力済","未入力"),"")</f>
        <v/>
      </c>
      <c r="AW212" s="558"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43" t="str">
        <f>IF(Q213="特定加算Ⅰ",IF(AM213="","未入力","入力済"),"")</f>
        <v/>
      </c>
      <c r="AY212" s="543" t="str">
        <f>G212</f>
        <v/>
      </c>
    </row>
    <row r="213" spans="1:51" ht="32.1" customHeight="1">
      <c r="A213" s="1226"/>
      <c r="B213" s="1223"/>
      <c r="C213" s="1223"/>
      <c r="D213" s="1223"/>
      <c r="E213" s="1223"/>
      <c r="F213" s="1223"/>
      <c r="G213" s="1235"/>
      <c r="H213" s="1235"/>
      <c r="I213" s="1235"/>
      <c r="J213" s="1235"/>
      <c r="K213" s="1235"/>
      <c r="L213" s="1238"/>
      <c r="M213" s="1293"/>
      <c r="N213" s="561" t="s">
        <v>170</v>
      </c>
      <c r="O213" s="152"/>
      <c r="P213" s="562" t="str">
        <f>IFERROR(VLOOKUP(K212,【参考】数式用!$A$5:$J$27,MATCH(O213,【参考】数式用!$B$4:$J$4,0)+1,0),"")</f>
        <v/>
      </c>
      <c r="Q213" s="152"/>
      <c r="R213" s="562" t="str">
        <f>IFERROR(VLOOKUP(K212,【参考】数式用!$A$5:$J$27,MATCH(Q213,【参考】数式用!$B$4:$J$4,0)+1,0),"")</f>
        <v/>
      </c>
      <c r="S213" s="173" t="s">
        <v>19</v>
      </c>
      <c r="T213" s="563">
        <v>6</v>
      </c>
      <c r="U213" s="174" t="s">
        <v>10</v>
      </c>
      <c r="V213" s="109">
        <v>4</v>
      </c>
      <c r="W213" s="174" t="s">
        <v>45</v>
      </c>
      <c r="X213" s="563">
        <v>6</v>
      </c>
      <c r="Y213" s="174" t="s">
        <v>10</v>
      </c>
      <c r="Z213" s="109">
        <v>5</v>
      </c>
      <c r="AA213" s="174" t="s">
        <v>13</v>
      </c>
      <c r="AB213" s="564" t="s">
        <v>24</v>
      </c>
      <c r="AC213" s="565">
        <f t="shared" si="208"/>
        <v>2</v>
      </c>
      <c r="AD213" s="174" t="s">
        <v>38</v>
      </c>
      <c r="AE213" s="566" t="str">
        <f>IFERROR(ROUNDDOWN(ROUND(L212*R213,0)*M212,0)*AC213,"")</f>
        <v/>
      </c>
      <c r="AF213" s="567" t="str">
        <f>IFERROR(ROUNDDOWN(ROUND(L212*(R213-P213),0)*M212,0)*AC213,"")</f>
        <v/>
      </c>
      <c r="AG213" s="568"/>
      <c r="AH213" s="453"/>
      <c r="AI213" s="454"/>
      <c r="AJ213" s="455"/>
      <c r="AK213" s="456"/>
      <c r="AL213" s="457"/>
      <c r="AM213" s="458"/>
      <c r="AN213" s="569" t="str">
        <f t="shared" ref="AN213" si="282">IF(AP212="","",IF(OR(Z212=4,Z213=4,Z214=4),"！加算の要件上は問題ありませんが、算定期間の終わりが令和６年５月になっていません。区分変更の場合は、「基本情報入力シート」で同じ事業所を２行に分けて記入してください。",""))</f>
        <v/>
      </c>
      <c r="AO213" s="570"/>
      <c r="AP213" s="557" t="str">
        <f>IF(K212&lt;&gt;"","P列・R列に色付け","")</f>
        <v/>
      </c>
      <c r="AY213" s="543" t="str">
        <f>G212</f>
        <v/>
      </c>
    </row>
    <row r="214" spans="1:51" ht="32.1" customHeight="1" thickBot="1">
      <c r="A214" s="1227"/>
      <c r="B214" s="1224"/>
      <c r="C214" s="1224"/>
      <c r="D214" s="1224"/>
      <c r="E214" s="1224"/>
      <c r="F214" s="1224"/>
      <c r="G214" s="1236"/>
      <c r="H214" s="1236"/>
      <c r="I214" s="1236"/>
      <c r="J214" s="1236"/>
      <c r="K214" s="1236"/>
      <c r="L214" s="1239"/>
      <c r="M214" s="1294"/>
      <c r="N214" s="571" t="s">
        <v>140</v>
      </c>
      <c r="O214" s="155"/>
      <c r="P214" s="591" t="str">
        <f>IFERROR(VLOOKUP(K212,【参考】数式用!$A$5:$J$27,MATCH(O214,【参考】数式用!$B$4:$J$4,0)+1,0),"")</f>
        <v/>
      </c>
      <c r="Q214" s="153"/>
      <c r="R214" s="572" t="str">
        <f>IFERROR(VLOOKUP(K212,【参考】数式用!$A$5:$J$27,MATCH(Q214,【参考】数式用!$B$4:$J$4,0)+1,0),"")</f>
        <v/>
      </c>
      <c r="S214" s="573" t="s">
        <v>19</v>
      </c>
      <c r="T214" s="574">
        <v>6</v>
      </c>
      <c r="U214" s="575" t="s">
        <v>10</v>
      </c>
      <c r="V214" s="110">
        <v>4</v>
      </c>
      <c r="W214" s="575" t="s">
        <v>45</v>
      </c>
      <c r="X214" s="574">
        <v>6</v>
      </c>
      <c r="Y214" s="575" t="s">
        <v>10</v>
      </c>
      <c r="Z214" s="110">
        <v>5</v>
      </c>
      <c r="AA214" s="575" t="s">
        <v>13</v>
      </c>
      <c r="AB214" s="576" t="s">
        <v>24</v>
      </c>
      <c r="AC214" s="577">
        <f t="shared" si="208"/>
        <v>2</v>
      </c>
      <c r="AD214" s="575" t="s">
        <v>38</v>
      </c>
      <c r="AE214" s="590" t="str">
        <f>IFERROR(ROUNDDOWN(ROUND(L212*R214,0)*M212,0)*AC214,"")</f>
        <v/>
      </c>
      <c r="AF214" s="579" t="str">
        <f>IFERROR(ROUNDDOWN(ROUND(L212*(R214-P214),0)*M212,0)*AC214,"")</f>
        <v/>
      </c>
      <c r="AG214" s="580">
        <f t="shared" si="246"/>
        <v>0</v>
      </c>
      <c r="AH214" s="459"/>
      <c r="AI214" s="460"/>
      <c r="AJ214" s="461"/>
      <c r="AK214" s="462"/>
      <c r="AL214" s="463"/>
      <c r="AM214" s="464"/>
      <c r="AN214" s="581" t="str">
        <f t="shared" ref="AN214" si="283">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82" t="str">
        <f>IF(K212&lt;&gt;"","P列・R列に色付け","")</f>
        <v/>
      </c>
      <c r="AQ214" s="583"/>
      <c r="AR214" s="583"/>
      <c r="AX214" s="584"/>
      <c r="AY214" s="543" t="str">
        <f>G212</f>
        <v/>
      </c>
    </row>
    <row r="215" spans="1:51" ht="32.1" customHeight="1">
      <c r="A215" s="1225">
        <v>68</v>
      </c>
      <c r="B215" s="1222" t="str">
        <f>IF(基本情報入力シート!C121="","",基本情報入力シート!C121)</f>
        <v/>
      </c>
      <c r="C215" s="1222"/>
      <c r="D215" s="1222"/>
      <c r="E215" s="1222"/>
      <c r="F215" s="1222"/>
      <c r="G215" s="1234" t="str">
        <f>IF(基本情報入力シート!M121="","",基本情報入力シート!M121)</f>
        <v/>
      </c>
      <c r="H215" s="1234" t="str">
        <f>IF(基本情報入力シート!R121="","",基本情報入力シート!R121)</f>
        <v/>
      </c>
      <c r="I215" s="1234" t="str">
        <f>IF(基本情報入力シート!W121="","",基本情報入力シート!W121)</f>
        <v/>
      </c>
      <c r="J215" s="1234" t="str">
        <f>IF(基本情報入力シート!X121="","",基本情報入力シート!X121)</f>
        <v/>
      </c>
      <c r="K215" s="1234" t="str">
        <f>IF(基本情報入力シート!Y121="","",基本情報入力シート!Y121)</f>
        <v/>
      </c>
      <c r="L215" s="1237" t="str">
        <f>IF(基本情報入力シート!AB121="","",基本情報入力シート!AB121)</f>
        <v/>
      </c>
      <c r="M215" s="1292" t="str">
        <f>IF(基本情報入力シート!AC121="","",基本情報入力シート!AC121)</f>
        <v/>
      </c>
      <c r="N215" s="547" t="s">
        <v>183</v>
      </c>
      <c r="O215" s="151"/>
      <c r="P215" s="548" t="str">
        <f>IFERROR(VLOOKUP(K215,【参考】数式用!$A$5:$J$27,MATCH(O215,【参考】数式用!$B$4:$J$4,0)+1,0),"")</f>
        <v/>
      </c>
      <c r="Q215" s="151"/>
      <c r="R215" s="548" t="str">
        <f>IFERROR(VLOOKUP(K215,【参考】数式用!$A$5:$J$27,MATCH(Q215,【参考】数式用!$B$4:$J$4,0)+1,0),"")</f>
        <v/>
      </c>
      <c r="S215" s="549" t="s">
        <v>19</v>
      </c>
      <c r="T215" s="550">
        <v>6</v>
      </c>
      <c r="U215" s="202" t="s">
        <v>10</v>
      </c>
      <c r="V215" s="71">
        <v>4</v>
      </c>
      <c r="W215" s="202" t="s">
        <v>45</v>
      </c>
      <c r="X215" s="550">
        <v>6</v>
      </c>
      <c r="Y215" s="202" t="s">
        <v>10</v>
      </c>
      <c r="Z215" s="71">
        <v>5</v>
      </c>
      <c r="AA215" s="202" t="s">
        <v>13</v>
      </c>
      <c r="AB215" s="551" t="s">
        <v>24</v>
      </c>
      <c r="AC215" s="552">
        <f t="shared" si="208"/>
        <v>2</v>
      </c>
      <c r="AD215" s="202" t="s">
        <v>38</v>
      </c>
      <c r="AE215" s="553" t="str">
        <f>IFERROR(ROUNDDOWN(ROUND(L215*R215,0)*M215,0)*AC215,"")</f>
        <v/>
      </c>
      <c r="AF215" s="554" t="str">
        <f>IFERROR(ROUNDDOWN(ROUND(L215*(R215-P215),0)*M215,0)*AC215,"")</f>
        <v/>
      </c>
      <c r="AG215" s="555"/>
      <c r="AH215" s="465"/>
      <c r="AI215" s="473"/>
      <c r="AJ215" s="470"/>
      <c r="AK215" s="471"/>
      <c r="AL215" s="451"/>
      <c r="AM215" s="452"/>
      <c r="AN215" s="556" t="str">
        <f t="shared" ref="AN215" si="284">IF(AP215="","",IF(R215&lt;P215,"！加算の要件上は問題ありませんが、令和６年３月と比較して４・５月に加算率が下がる計画になっています。",""))</f>
        <v/>
      </c>
      <c r="AP215" s="557" t="str">
        <f>IF(K215&lt;&gt;"","P列・R列に色付け","")</f>
        <v/>
      </c>
      <c r="AQ215" s="558" t="str">
        <f>IFERROR(VLOOKUP(K215,【参考】数式用!$AJ$2:$AK$24,2,FALSE),"")</f>
        <v/>
      </c>
      <c r="AR215" s="560" t="str">
        <f>Q215&amp;Q216&amp;Q217</f>
        <v/>
      </c>
      <c r="AS215" s="558" t="str">
        <f t="shared" ref="AS215" si="285">IF(AG217&lt;&gt;0,IF(AH217="○","入力済","未入力"),"")</f>
        <v/>
      </c>
      <c r="AT215" s="559" t="str">
        <f>IF(OR(Q215="処遇加算Ⅰ",Q215="処遇加算Ⅱ"),IF(OR(AI215="○",AI215="令和６年度中に満たす"),"入力済","未入力"),"")</f>
        <v/>
      </c>
      <c r="AU215" s="560" t="str">
        <f>IF(Q215="処遇加算Ⅲ",IF(AJ215="○","入力済","未入力"),"")</f>
        <v/>
      </c>
      <c r="AV215" s="558" t="str">
        <f>IF(Q215="処遇加算Ⅰ",IF(OR(AK215="○",AK215="令和６年度中に満たす"),"入力済","未入力"),"")</f>
        <v/>
      </c>
      <c r="AW215" s="558"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43" t="str">
        <f>IF(Q216="特定加算Ⅰ",IF(AM216="","未入力","入力済"),"")</f>
        <v/>
      </c>
      <c r="AY215" s="543" t="str">
        <f>G215</f>
        <v/>
      </c>
    </row>
    <row r="216" spans="1:51" ht="32.1" customHeight="1">
      <c r="A216" s="1226"/>
      <c r="B216" s="1223"/>
      <c r="C216" s="1223"/>
      <c r="D216" s="1223"/>
      <c r="E216" s="1223"/>
      <c r="F216" s="1223"/>
      <c r="G216" s="1235"/>
      <c r="H216" s="1235"/>
      <c r="I216" s="1235"/>
      <c r="J216" s="1235"/>
      <c r="K216" s="1235"/>
      <c r="L216" s="1238"/>
      <c r="M216" s="1293"/>
      <c r="N216" s="561" t="s">
        <v>170</v>
      </c>
      <c r="O216" s="152"/>
      <c r="P216" s="562" t="str">
        <f>IFERROR(VLOOKUP(K215,【参考】数式用!$A$5:$J$27,MATCH(O216,【参考】数式用!$B$4:$J$4,0)+1,0),"")</f>
        <v/>
      </c>
      <c r="Q216" s="152"/>
      <c r="R216" s="562" t="str">
        <f>IFERROR(VLOOKUP(K215,【参考】数式用!$A$5:$J$27,MATCH(Q216,【参考】数式用!$B$4:$J$4,0)+1,0),"")</f>
        <v/>
      </c>
      <c r="S216" s="173" t="s">
        <v>19</v>
      </c>
      <c r="T216" s="563">
        <v>6</v>
      </c>
      <c r="U216" s="174" t="s">
        <v>10</v>
      </c>
      <c r="V216" s="109">
        <v>4</v>
      </c>
      <c r="W216" s="174" t="s">
        <v>45</v>
      </c>
      <c r="X216" s="563">
        <v>6</v>
      </c>
      <c r="Y216" s="174" t="s">
        <v>10</v>
      </c>
      <c r="Z216" s="109">
        <v>5</v>
      </c>
      <c r="AA216" s="174" t="s">
        <v>13</v>
      </c>
      <c r="AB216" s="564" t="s">
        <v>24</v>
      </c>
      <c r="AC216" s="565">
        <f t="shared" si="208"/>
        <v>2</v>
      </c>
      <c r="AD216" s="174" t="s">
        <v>38</v>
      </c>
      <c r="AE216" s="566" t="str">
        <f>IFERROR(ROUNDDOWN(ROUND(L215*R216,0)*M215,0)*AC216,"")</f>
        <v/>
      </c>
      <c r="AF216" s="567" t="str">
        <f>IFERROR(ROUNDDOWN(ROUND(L215*(R216-P216),0)*M215,0)*AC216,"")</f>
        <v/>
      </c>
      <c r="AG216" s="568"/>
      <c r="AH216" s="453"/>
      <c r="AI216" s="454"/>
      <c r="AJ216" s="455"/>
      <c r="AK216" s="456"/>
      <c r="AL216" s="457"/>
      <c r="AM216" s="458"/>
      <c r="AN216" s="569" t="str">
        <f t="shared" ref="AN216" si="286">IF(AP215="","",IF(OR(Z215=4,Z216=4,Z217=4),"！加算の要件上は問題ありませんが、算定期間の終わりが令和６年５月になっていません。区分変更の場合は、「基本情報入力シート」で同じ事業所を２行に分けて記入してください。",""))</f>
        <v/>
      </c>
      <c r="AO216" s="570"/>
      <c r="AP216" s="557" t="str">
        <f>IF(K215&lt;&gt;"","P列・R列に色付け","")</f>
        <v/>
      </c>
      <c r="AY216" s="543" t="str">
        <f>G215</f>
        <v/>
      </c>
    </row>
    <row r="217" spans="1:51" ht="32.1" customHeight="1" thickBot="1">
      <c r="A217" s="1227"/>
      <c r="B217" s="1224"/>
      <c r="C217" s="1224"/>
      <c r="D217" s="1224"/>
      <c r="E217" s="1224"/>
      <c r="F217" s="1224"/>
      <c r="G217" s="1236"/>
      <c r="H217" s="1236"/>
      <c r="I217" s="1236"/>
      <c r="J217" s="1236"/>
      <c r="K217" s="1236"/>
      <c r="L217" s="1239"/>
      <c r="M217" s="1294"/>
      <c r="N217" s="571" t="s">
        <v>140</v>
      </c>
      <c r="O217" s="155"/>
      <c r="P217" s="591" t="str">
        <f>IFERROR(VLOOKUP(K215,【参考】数式用!$A$5:$J$27,MATCH(O217,【参考】数式用!$B$4:$J$4,0)+1,0),"")</f>
        <v/>
      </c>
      <c r="Q217" s="153"/>
      <c r="R217" s="572" t="str">
        <f>IFERROR(VLOOKUP(K215,【参考】数式用!$A$5:$J$27,MATCH(Q217,【参考】数式用!$B$4:$J$4,0)+1,0),"")</f>
        <v/>
      </c>
      <c r="S217" s="573" t="s">
        <v>19</v>
      </c>
      <c r="T217" s="574">
        <v>6</v>
      </c>
      <c r="U217" s="575" t="s">
        <v>10</v>
      </c>
      <c r="V217" s="110">
        <v>4</v>
      </c>
      <c r="W217" s="575" t="s">
        <v>45</v>
      </c>
      <c r="X217" s="574">
        <v>6</v>
      </c>
      <c r="Y217" s="575" t="s">
        <v>10</v>
      </c>
      <c r="Z217" s="110">
        <v>5</v>
      </c>
      <c r="AA217" s="575" t="s">
        <v>13</v>
      </c>
      <c r="AB217" s="576" t="s">
        <v>24</v>
      </c>
      <c r="AC217" s="577">
        <f t="shared" si="208"/>
        <v>2</v>
      </c>
      <c r="AD217" s="575" t="s">
        <v>38</v>
      </c>
      <c r="AE217" s="590" t="str">
        <f>IFERROR(ROUNDDOWN(ROUND(L215*R217,0)*M215,0)*AC217,"")</f>
        <v/>
      </c>
      <c r="AF217" s="579" t="str">
        <f>IFERROR(ROUNDDOWN(ROUND(L215*(R217-P217),0)*M215,0)*AC217,"")</f>
        <v/>
      </c>
      <c r="AG217" s="580">
        <f t="shared" si="246"/>
        <v>0</v>
      </c>
      <c r="AH217" s="459"/>
      <c r="AI217" s="460"/>
      <c r="AJ217" s="461"/>
      <c r="AK217" s="462"/>
      <c r="AL217" s="463"/>
      <c r="AM217" s="464"/>
      <c r="AN217" s="581" t="str">
        <f t="shared" ref="AN217" si="287">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82" t="str">
        <f>IF(K215&lt;&gt;"","P列・R列に色付け","")</f>
        <v/>
      </c>
      <c r="AQ217" s="583"/>
      <c r="AR217" s="583"/>
      <c r="AX217" s="584"/>
      <c r="AY217" s="543" t="str">
        <f>G215</f>
        <v/>
      </c>
    </row>
    <row r="218" spans="1:51" ht="32.1" customHeight="1">
      <c r="A218" s="1225">
        <v>69</v>
      </c>
      <c r="B218" s="1222" t="str">
        <f>IF(基本情報入力シート!C122="","",基本情報入力シート!C122)</f>
        <v/>
      </c>
      <c r="C218" s="1222"/>
      <c r="D218" s="1222"/>
      <c r="E218" s="1222"/>
      <c r="F218" s="1222"/>
      <c r="G218" s="1234" t="str">
        <f>IF(基本情報入力シート!M122="","",基本情報入力シート!M122)</f>
        <v/>
      </c>
      <c r="H218" s="1234" t="str">
        <f>IF(基本情報入力シート!R122="","",基本情報入力シート!R122)</f>
        <v/>
      </c>
      <c r="I218" s="1234" t="str">
        <f>IF(基本情報入力シート!W122="","",基本情報入力シート!W122)</f>
        <v/>
      </c>
      <c r="J218" s="1234" t="str">
        <f>IF(基本情報入力シート!X122="","",基本情報入力シート!X122)</f>
        <v/>
      </c>
      <c r="K218" s="1234" t="str">
        <f>IF(基本情報入力シート!Y122="","",基本情報入力シート!Y122)</f>
        <v/>
      </c>
      <c r="L218" s="1237" t="str">
        <f>IF(基本情報入力シート!AB122="","",基本情報入力シート!AB122)</f>
        <v/>
      </c>
      <c r="M218" s="1292" t="str">
        <f>IF(基本情報入力シート!AC122="","",基本情報入力シート!AC122)</f>
        <v/>
      </c>
      <c r="N218" s="547" t="s">
        <v>183</v>
      </c>
      <c r="O218" s="151"/>
      <c r="P218" s="548" t="str">
        <f>IFERROR(VLOOKUP(K218,【参考】数式用!$A$5:$J$27,MATCH(O218,【参考】数式用!$B$4:$J$4,0)+1,0),"")</f>
        <v/>
      </c>
      <c r="Q218" s="151"/>
      <c r="R218" s="548" t="str">
        <f>IFERROR(VLOOKUP(K218,【参考】数式用!$A$5:$J$27,MATCH(Q218,【参考】数式用!$B$4:$J$4,0)+1,0),"")</f>
        <v/>
      </c>
      <c r="S218" s="549" t="s">
        <v>19</v>
      </c>
      <c r="T218" s="550">
        <v>6</v>
      </c>
      <c r="U218" s="202" t="s">
        <v>10</v>
      </c>
      <c r="V218" s="71">
        <v>4</v>
      </c>
      <c r="W218" s="202" t="s">
        <v>45</v>
      </c>
      <c r="X218" s="550">
        <v>6</v>
      </c>
      <c r="Y218" s="202" t="s">
        <v>10</v>
      </c>
      <c r="Z218" s="71">
        <v>5</v>
      </c>
      <c r="AA218" s="202" t="s">
        <v>13</v>
      </c>
      <c r="AB218" s="551" t="s">
        <v>24</v>
      </c>
      <c r="AC218" s="552">
        <f t="shared" si="208"/>
        <v>2</v>
      </c>
      <c r="AD218" s="202" t="s">
        <v>38</v>
      </c>
      <c r="AE218" s="553" t="str">
        <f>IFERROR(ROUNDDOWN(ROUND(L218*R218,0)*M218,0)*AC218,"")</f>
        <v/>
      </c>
      <c r="AF218" s="554" t="str">
        <f>IFERROR(ROUNDDOWN(ROUND(L218*(R218-P218),0)*M218,0)*AC218,"")</f>
        <v/>
      </c>
      <c r="AG218" s="555"/>
      <c r="AH218" s="465"/>
      <c r="AI218" s="473"/>
      <c r="AJ218" s="470"/>
      <c r="AK218" s="471"/>
      <c r="AL218" s="451"/>
      <c r="AM218" s="452"/>
      <c r="AN218" s="556" t="str">
        <f t="shared" ref="AN218" si="288">IF(AP218="","",IF(R218&lt;P218,"！加算の要件上は問題ありませんが、令和６年３月と比較して４・５月に加算率が下がる計画になっています。",""))</f>
        <v/>
      </c>
      <c r="AP218" s="557" t="str">
        <f>IF(K218&lt;&gt;"","P列・R列に色付け","")</f>
        <v/>
      </c>
      <c r="AQ218" s="558" t="str">
        <f>IFERROR(VLOOKUP(K218,【参考】数式用!$AJ$2:$AK$24,2,FALSE),"")</f>
        <v/>
      </c>
      <c r="AR218" s="560" t="str">
        <f>Q218&amp;Q219&amp;Q220</f>
        <v/>
      </c>
      <c r="AS218" s="558" t="str">
        <f t="shared" ref="AS218" si="289">IF(AG220&lt;&gt;0,IF(AH220="○","入力済","未入力"),"")</f>
        <v/>
      </c>
      <c r="AT218" s="559" t="str">
        <f>IF(OR(Q218="処遇加算Ⅰ",Q218="処遇加算Ⅱ"),IF(OR(AI218="○",AI218="令和６年度中に満たす"),"入力済","未入力"),"")</f>
        <v/>
      </c>
      <c r="AU218" s="560" t="str">
        <f>IF(Q218="処遇加算Ⅲ",IF(AJ218="○","入力済","未入力"),"")</f>
        <v/>
      </c>
      <c r="AV218" s="558" t="str">
        <f>IF(Q218="処遇加算Ⅰ",IF(OR(AK218="○",AK218="令和６年度中に満たす"),"入力済","未入力"),"")</f>
        <v/>
      </c>
      <c r="AW218" s="558"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43" t="str">
        <f>IF(Q219="特定加算Ⅰ",IF(AM219="","未入力","入力済"),"")</f>
        <v/>
      </c>
      <c r="AY218" s="543" t="str">
        <f>G218</f>
        <v/>
      </c>
    </row>
    <row r="219" spans="1:51" ht="32.1" customHeight="1">
      <c r="A219" s="1226"/>
      <c r="B219" s="1223"/>
      <c r="C219" s="1223"/>
      <c r="D219" s="1223"/>
      <c r="E219" s="1223"/>
      <c r="F219" s="1223"/>
      <c r="G219" s="1235"/>
      <c r="H219" s="1235"/>
      <c r="I219" s="1235"/>
      <c r="J219" s="1235"/>
      <c r="K219" s="1235"/>
      <c r="L219" s="1238"/>
      <c r="M219" s="1293"/>
      <c r="N219" s="561" t="s">
        <v>170</v>
      </c>
      <c r="O219" s="152"/>
      <c r="P219" s="562" t="str">
        <f>IFERROR(VLOOKUP(K218,【参考】数式用!$A$5:$J$27,MATCH(O219,【参考】数式用!$B$4:$J$4,0)+1,0),"")</f>
        <v/>
      </c>
      <c r="Q219" s="152"/>
      <c r="R219" s="562" t="str">
        <f>IFERROR(VLOOKUP(K218,【参考】数式用!$A$5:$J$27,MATCH(Q219,【参考】数式用!$B$4:$J$4,0)+1,0),"")</f>
        <v/>
      </c>
      <c r="S219" s="173" t="s">
        <v>19</v>
      </c>
      <c r="T219" s="563">
        <v>6</v>
      </c>
      <c r="U219" s="174" t="s">
        <v>10</v>
      </c>
      <c r="V219" s="109">
        <v>4</v>
      </c>
      <c r="W219" s="174" t="s">
        <v>45</v>
      </c>
      <c r="X219" s="563">
        <v>6</v>
      </c>
      <c r="Y219" s="174" t="s">
        <v>10</v>
      </c>
      <c r="Z219" s="109">
        <v>5</v>
      </c>
      <c r="AA219" s="174" t="s">
        <v>13</v>
      </c>
      <c r="AB219" s="564" t="s">
        <v>24</v>
      </c>
      <c r="AC219" s="565">
        <f t="shared" si="208"/>
        <v>2</v>
      </c>
      <c r="AD219" s="174" t="s">
        <v>38</v>
      </c>
      <c r="AE219" s="566" t="str">
        <f>IFERROR(ROUNDDOWN(ROUND(L218*R219,0)*M218,0)*AC219,"")</f>
        <v/>
      </c>
      <c r="AF219" s="567" t="str">
        <f>IFERROR(ROUNDDOWN(ROUND(L218*(R219-P219),0)*M218,0)*AC219,"")</f>
        <v/>
      </c>
      <c r="AG219" s="568"/>
      <c r="AH219" s="453"/>
      <c r="AI219" s="454"/>
      <c r="AJ219" s="455"/>
      <c r="AK219" s="456"/>
      <c r="AL219" s="457"/>
      <c r="AM219" s="458"/>
      <c r="AN219" s="569" t="str">
        <f t="shared" ref="AN219" si="290">IF(AP218="","",IF(OR(Z218=4,Z219=4,Z220=4),"！加算の要件上は問題ありませんが、算定期間の終わりが令和６年５月になっていません。区分変更の場合は、「基本情報入力シート」で同じ事業所を２行に分けて記入してください。",""))</f>
        <v/>
      </c>
      <c r="AO219" s="570"/>
      <c r="AP219" s="557" t="str">
        <f>IF(K218&lt;&gt;"","P列・R列に色付け","")</f>
        <v/>
      </c>
      <c r="AY219" s="543" t="str">
        <f>G218</f>
        <v/>
      </c>
    </row>
    <row r="220" spans="1:51" ht="32.1" customHeight="1" thickBot="1">
      <c r="A220" s="1227"/>
      <c r="B220" s="1224"/>
      <c r="C220" s="1224"/>
      <c r="D220" s="1224"/>
      <c r="E220" s="1224"/>
      <c r="F220" s="1224"/>
      <c r="G220" s="1236"/>
      <c r="H220" s="1236"/>
      <c r="I220" s="1236"/>
      <c r="J220" s="1236"/>
      <c r="K220" s="1236"/>
      <c r="L220" s="1239"/>
      <c r="M220" s="1294"/>
      <c r="N220" s="571" t="s">
        <v>140</v>
      </c>
      <c r="O220" s="155"/>
      <c r="P220" s="591" t="str">
        <f>IFERROR(VLOOKUP(K218,【参考】数式用!$A$5:$J$27,MATCH(O220,【参考】数式用!$B$4:$J$4,0)+1,0),"")</f>
        <v/>
      </c>
      <c r="Q220" s="153"/>
      <c r="R220" s="572" t="str">
        <f>IFERROR(VLOOKUP(K218,【参考】数式用!$A$5:$J$27,MATCH(Q220,【参考】数式用!$B$4:$J$4,0)+1,0),"")</f>
        <v/>
      </c>
      <c r="S220" s="573" t="s">
        <v>19</v>
      </c>
      <c r="T220" s="574">
        <v>6</v>
      </c>
      <c r="U220" s="575" t="s">
        <v>10</v>
      </c>
      <c r="V220" s="110">
        <v>4</v>
      </c>
      <c r="W220" s="575" t="s">
        <v>45</v>
      </c>
      <c r="X220" s="574">
        <v>6</v>
      </c>
      <c r="Y220" s="575" t="s">
        <v>10</v>
      </c>
      <c r="Z220" s="110">
        <v>5</v>
      </c>
      <c r="AA220" s="575" t="s">
        <v>13</v>
      </c>
      <c r="AB220" s="576" t="s">
        <v>24</v>
      </c>
      <c r="AC220" s="577">
        <f t="shared" si="208"/>
        <v>2</v>
      </c>
      <c r="AD220" s="575" t="s">
        <v>38</v>
      </c>
      <c r="AE220" s="590" t="str">
        <f>IFERROR(ROUNDDOWN(ROUND(L218*R220,0)*M218,0)*AC220,"")</f>
        <v/>
      </c>
      <c r="AF220" s="579" t="str">
        <f>IFERROR(ROUNDDOWN(ROUND(L218*(R220-P220),0)*M218,0)*AC220,"")</f>
        <v/>
      </c>
      <c r="AG220" s="580">
        <f t="shared" si="246"/>
        <v>0</v>
      </c>
      <c r="AH220" s="459"/>
      <c r="AI220" s="460"/>
      <c r="AJ220" s="461"/>
      <c r="AK220" s="462"/>
      <c r="AL220" s="463"/>
      <c r="AM220" s="464"/>
      <c r="AN220" s="581" t="str">
        <f t="shared" ref="AN220" si="291">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82" t="str">
        <f>IF(K218&lt;&gt;"","P列・R列に色付け","")</f>
        <v/>
      </c>
      <c r="AQ220" s="583"/>
      <c r="AR220" s="583"/>
      <c r="AX220" s="584"/>
      <c r="AY220" s="543" t="str">
        <f>G218</f>
        <v/>
      </c>
    </row>
    <row r="221" spans="1:51" ht="32.1" customHeight="1">
      <c r="A221" s="1225">
        <v>70</v>
      </c>
      <c r="B221" s="1222" t="str">
        <f>IF(基本情報入力シート!C123="","",基本情報入力シート!C123)</f>
        <v/>
      </c>
      <c r="C221" s="1222"/>
      <c r="D221" s="1222"/>
      <c r="E221" s="1222"/>
      <c r="F221" s="1222"/>
      <c r="G221" s="1234" t="str">
        <f>IF(基本情報入力シート!M123="","",基本情報入力シート!M123)</f>
        <v/>
      </c>
      <c r="H221" s="1234" t="str">
        <f>IF(基本情報入力シート!R123="","",基本情報入力シート!R123)</f>
        <v/>
      </c>
      <c r="I221" s="1234" t="str">
        <f>IF(基本情報入力シート!W123="","",基本情報入力シート!W123)</f>
        <v/>
      </c>
      <c r="J221" s="1234" t="str">
        <f>IF(基本情報入力シート!X123="","",基本情報入力シート!X123)</f>
        <v/>
      </c>
      <c r="K221" s="1234" t="str">
        <f>IF(基本情報入力シート!Y123="","",基本情報入力シート!Y123)</f>
        <v/>
      </c>
      <c r="L221" s="1237" t="str">
        <f>IF(基本情報入力シート!AB123="","",基本情報入力シート!AB123)</f>
        <v/>
      </c>
      <c r="M221" s="1292" t="str">
        <f>IF(基本情報入力シート!AC123="","",基本情報入力シート!AC123)</f>
        <v/>
      </c>
      <c r="N221" s="547" t="s">
        <v>183</v>
      </c>
      <c r="O221" s="151"/>
      <c r="P221" s="548" t="str">
        <f>IFERROR(VLOOKUP(K221,【参考】数式用!$A$5:$J$27,MATCH(O221,【参考】数式用!$B$4:$J$4,0)+1,0),"")</f>
        <v/>
      </c>
      <c r="Q221" s="151"/>
      <c r="R221" s="548" t="str">
        <f>IFERROR(VLOOKUP(K221,【参考】数式用!$A$5:$J$27,MATCH(Q221,【参考】数式用!$B$4:$J$4,0)+1,0),"")</f>
        <v/>
      </c>
      <c r="S221" s="549" t="s">
        <v>19</v>
      </c>
      <c r="T221" s="550">
        <v>6</v>
      </c>
      <c r="U221" s="202" t="s">
        <v>10</v>
      </c>
      <c r="V221" s="71">
        <v>4</v>
      </c>
      <c r="W221" s="202" t="s">
        <v>45</v>
      </c>
      <c r="X221" s="550">
        <v>6</v>
      </c>
      <c r="Y221" s="202" t="s">
        <v>10</v>
      </c>
      <c r="Z221" s="71">
        <v>5</v>
      </c>
      <c r="AA221" s="202" t="s">
        <v>13</v>
      </c>
      <c r="AB221" s="551" t="s">
        <v>24</v>
      </c>
      <c r="AC221" s="552">
        <f t="shared" si="208"/>
        <v>2</v>
      </c>
      <c r="AD221" s="202" t="s">
        <v>38</v>
      </c>
      <c r="AE221" s="553" t="str">
        <f>IFERROR(ROUNDDOWN(ROUND(L221*R221,0)*M221,0)*AC221,"")</f>
        <v/>
      </c>
      <c r="AF221" s="554" t="str">
        <f>IFERROR(ROUNDDOWN(ROUND(L221*(R221-P221),0)*M221,0)*AC221,"")</f>
        <v/>
      </c>
      <c r="AG221" s="555"/>
      <c r="AH221" s="465"/>
      <c r="AI221" s="473"/>
      <c r="AJ221" s="470"/>
      <c r="AK221" s="471"/>
      <c r="AL221" s="451"/>
      <c r="AM221" s="452"/>
      <c r="AN221" s="556" t="str">
        <f t="shared" ref="AN221" si="292">IF(AP221="","",IF(R221&lt;P221,"！加算の要件上は問題ありませんが、令和６年３月と比較して４・５月に加算率が下がる計画になっています。",""))</f>
        <v/>
      </c>
      <c r="AP221" s="557" t="str">
        <f>IF(K221&lt;&gt;"","P列・R列に色付け","")</f>
        <v/>
      </c>
      <c r="AQ221" s="558" t="str">
        <f>IFERROR(VLOOKUP(K221,【参考】数式用!$AJ$2:$AK$24,2,FALSE),"")</f>
        <v/>
      </c>
      <c r="AR221" s="560" t="str">
        <f>Q221&amp;Q222&amp;Q223</f>
        <v/>
      </c>
      <c r="AS221" s="558" t="str">
        <f t="shared" ref="AS221" si="293">IF(AG223&lt;&gt;0,IF(AH223="○","入力済","未入力"),"")</f>
        <v/>
      </c>
      <c r="AT221" s="559" t="str">
        <f>IF(OR(Q221="処遇加算Ⅰ",Q221="処遇加算Ⅱ"),IF(OR(AI221="○",AI221="令和６年度中に満たす"),"入力済","未入力"),"")</f>
        <v/>
      </c>
      <c r="AU221" s="560" t="str">
        <f>IF(Q221="処遇加算Ⅲ",IF(AJ221="○","入力済","未入力"),"")</f>
        <v/>
      </c>
      <c r="AV221" s="558" t="str">
        <f>IF(Q221="処遇加算Ⅰ",IF(OR(AK221="○",AK221="令和６年度中に満たす"),"入力済","未入力"),"")</f>
        <v/>
      </c>
      <c r="AW221" s="558"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43" t="str">
        <f>IF(Q222="特定加算Ⅰ",IF(AM222="","未入力","入力済"),"")</f>
        <v/>
      </c>
      <c r="AY221" s="543" t="str">
        <f>G221</f>
        <v/>
      </c>
    </row>
    <row r="222" spans="1:51" ht="32.1" customHeight="1">
      <c r="A222" s="1226"/>
      <c r="B222" s="1223"/>
      <c r="C222" s="1223"/>
      <c r="D222" s="1223"/>
      <c r="E222" s="1223"/>
      <c r="F222" s="1223"/>
      <c r="G222" s="1235"/>
      <c r="H222" s="1235"/>
      <c r="I222" s="1235"/>
      <c r="J222" s="1235"/>
      <c r="K222" s="1235"/>
      <c r="L222" s="1238"/>
      <c r="M222" s="1293"/>
      <c r="N222" s="561" t="s">
        <v>170</v>
      </c>
      <c r="O222" s="152"/>
      <c r="P222" s="562" t="str">
        <f>IFERROR(VLOOKUP(K221,【参考】数式用!$A$5:$J$27,MATCH(O222,【参考】数式用!$B$4:$J$4,0)+1,0),"")</f>
        <v/>
      </c>
      <c r="Q222" s="152"/>
      <c r="R222" s="562" t="str">
        <f>IFERROR(VLOOKUP(K221,【参考】数式用!$A$5:$J$27,MATCH(Q222,【参考】数式用!$B$4:$J$4,0)+1,0),"")</f>
        <v/>
      </c>
      <c r="S222" s="173" t="s">
        <v>19</v>
      </c>
      <c r="T222" s="563">
        <v>6</v>
      </c>
      <c r="U222" s="174" t="s">
        <v>10</v>
      </c>
      <c r="V222" s="109">
        <v>4</v>
      </c>
      <c r="W222" s="174" t="s">
        <v>45</v>
      </c>
      <c r="X222" s="563">
        <v>6</v>
      </c>
      <c r="Y222" s="174" t="s">
        <v>10</v>
      </c>
      <c r="Z222" s="109">
        <v>5</v>
      </c>
      <c r="AA222" s="174" t="s">
        <v>13</v>
      </c>
      <c r="AB222" s="564" t="s">
        <v>24</v>
      </c>
      <c r="AC222" s="565">
        <f t="shared" si="208"/>
        <v>2</v>
      </c>
      <c r="AD222" s="174" t="s">
        <v>38</v>
      </c>
      <c r="AE222" s="566" t="str">
        <f>IFERROR(ROUNDDOWN(ROUND(L221*R222,0)*M221,0)*AC222,"")</f>
        <v/>
      </c>
      <c r="AF222" s="567" t="str">
        <f>IFERROR(ROUNDDOWN(ROUND(L221*(R222-P222),0)*M221,0)*AC222,"")</f>
        <v/>
      </c>
      <c r="AG222" s="568"/>
      <c r="AH222" s="453"/>
      <c r="AI222" s="454"/>
      <c r="AJ222" s="455"/>
      <c r="AK222" s="456"/>
      <c r="AL222" s="457"/>
      <c r="AM222" s="458"/>
      <c r="AN222" s="569" t="str">
        <f t="shared" ref="AN222" si="294">IF(AP221="","",IF(OR(Z221=4,Z222=4,Z223=4),"！加算の要件上は問題ありませんが、算定期間の終わりが令和６年５月になっていません。区分変更の場合は、「基本情報入力シート」で同じ事業所を２行に分けて記入してください。",""))</f>
        <v/>
      </c>
      <c r="AO222" s="570"/>
      <c r="AP222" s="557" t="str">
        <f>IF(K221&lt;&gt;"","P列・R列に色付け","")</f>
        <v/>
      </c>
      <c r="AY222" s="543" t="str">
        <f>G221</f>
        <v/>
      </c>
    </row>
    <row r="223" spans="1:51" ht="32.1" customHeight="1" thickBot="1">
      <c r="A223" s="1227"/>
      <c r="B223" s="1224"/>
      <c r="C223" s="1224"/>
      <c r="D223" s="1224"/>
      <c r="E223" s="1224"/>
      <c r="F223" s="1224"/>
      <c r="G223" s="1236"/>
      <c r="H223" s="1236"/>
      <c r="I223" s="1236"/>
      <c r="J223" s="1236"/>
      <c r="K223" s="1236"/>
      <c r="L223" s="1239"/>
      <c r="M223" s="1294"/>
      <c r="N223" s="571" t="s">
        <v>140</v>
      </c>
      <c r="O223" s="155"/>
      <c r="P223" s="591" t="str">
        <f>IFERROR(VLOOKUP(K221,【参考】数式用!$A$5:$J$27,MATCH(O223,【参考】数式用!$B$4:$J$4,0)+1,0),"")</f>
        <v/>
      </c>
      <c r="Q223" s="153"/>
      <c r="R223" s="572" t="str">
        <f>IFERROR(VLOOKUP(K221,【参考】数式用!$A$5:$J$27,MATCH(Q223,【参考】数式用!$B$4:$J$4,0)+1,0),"")</f>
        <v/>
      </c>
      <c r="S223" s="573" t="s">
        <v>19</v>
      </c>
      <c r="T223" s="574">
        <v>6</v>
      </c>
      <c r="U223" s="575" t="s">
        <v>10</v>
      </c>
      <c r="V223" s="110">
        <v>4</v>
      </c>
      <c r="W223" s="575" t="s">
        <v>45</v>
      </c>
      <c r="X223" s="574">
        <v>6</v>
      </c>
      <c r="Y223" s="575" t="s">
        <v>10</v>
      </c>
      <c r="Z223" s="110">
        <v>5</v>
      </c>
      <c r="AA223" s="575" t="s">
        <v>13</v>
      </c>
      <c r="AB223" s="576" t="s">
        <v>24</v>
      </c>
      <c r="AC223" s="577">
        <f t="shared" ref="AC223:AC286" si="295">IF(V223&gt;=1,(X223*12+Z223)-(T223*12+V223)+1,"")</f>
        <v>2</v>
      </c>
      <c r="AD223" s="575" t="s">
        <v>38</v>
      </c>
      <c r="AE223" s="590" t="str">
        <f>IFERROR(ROUNDDOWN(ROUND(L221*R223,0)*M221,0)*AC223,"")</f>
        <v/>
      </c>
      <c r="AF223" s="579" t="str">
        <f>IFERROR(ROUNDDOWN(ROUND(L221*(R223-P223),0)*M221,0)*AC223,"")</f>
        <v/>
      </c>
      <c r="AG223" s="580">
        <f t="shared" si="246"/>
        <v>0</v>
      </c>
      <c r="AH223" s="459"/>
      <c r="AI223" s="460"/>
      <c r="AJ223" s="461"/>
      <c r="AK223" s="462"/>
      <c r="AL223" s="463"/>
      <c r="AM223" s="464"/>
      <c r="AN223" s="581" t="str">
        <f t="shared" ref="AN223" si="296">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82" t="str">
        <f>IF(K221&lt;&gt;"","P列・R列に色付け","")</f>
        <v/>
      </c>
      <c r="AQ223" s="583"/>
      <c r="AR223" s="583"/>
      <c r="AX223" s="584"/>
      <c r="AY223" s="543" t="str">
        <f>G221</f>
        <v/>
      </c>
    </row>
    <row r="224" spans="1:51" ht="32.1" customHeight="1">
      <c r="A224" s="1225">
        <v>71</v>
      </c>
      <c r="B224" s="1222" t="str">
        <f>IF(基本情報入力シート!C124="","",基本情報入力シート!C124)</f>
        <v/>
      </c>
      <c r="C224" s="1222"/>
      <c r="D224" s="1222"/>
      <c r="E224" s="1222"/>
      <c r="F224" s="1222"/>
      <c r="G224" s="1234" t="str">
        <f>IF(基本情報入力シート!M124="","",基本情報入力シート!M124)</f>
        <v/>
      </c>
      <c r="H224" s="1234" t="str">
        <f>IF(基本情報入力シート!R124="","",基本情報入力シート!R124)</f>
        <v/>
      </c>
      <c r="I224" s="1234" t="str">
        <f>IF(基本情報入力シート!W124="","",基本情報入力シート!W124)</f>
        <v/>
      </c>
      <c r="J224" s="1234" t="str">
        <f>IF(基本情報入力シート!X124="","",基本情報入力シート!X124)</f>
        <v/>
      </c>
      <c r="K224" s="1234" t="str">
        <f>IF(基本情報入力シート!Y124="","",基本情報入力シート!Y124)</f>
        <v/>
      </c>
      <c r="L224" s="1237" t="str">
        <f>IF(基本情報入力シート!AB124="","",基本情報入力シート!AB124)</f>
        <v/>
      </c>
      <c r="M224" s="1292" t="str">
        <f>IF(基本情報入力シート!AC124="","",基本情報入力シート!AC124)</f>
        <v/>
      </c>
      <c r="N224" s="547" t="s">
        <v>183</v>
      </c>
      <c r="O224" s="151"/>
      <c r="P224" s="548" t="str">
        <f>IFERROR(VLOOKUP(K224,【参考】数式用!$A$5:$J$27,MATCH(O224,【参考】数式用!$B$4:$J$4,0)+1,0),"")</f>
        <v/>
      </c>
      <c r="Q224" s="151"/>
      <c r="R224" s="548" t="str">
        <f>IFERROR(VLOOKUP(K224,【参考】数式用!$A$5:$J$27,MATCH(Q224,【参考】数式用!$B$4:$J$4,0)+1,0),"")</f>
        <v/>
      </c>
      <c r="S224" s="549" t="s">
        <v>19</v>
      </c>
      <c r="T224" s="550">
        <v>6</v>
      </c>
      <c r="U224" s="202" t="s">
        <v>10</v>
      </c>
      <c r="V224" s="71">
        <v>4</v>
      </c>
      <c r="W224" s="202" t="s">
        <v>45</v>
      </c>
      <c r="X224" s="550">
        <v>6</v>
      </c>
      <c r="Y224" s="202" t="s">
        <v>10</v>
      </c>
      <c r="Z224" s="71">
        <v>5</v>
      </c>
      <c r="AA224" s="202" t="s">
        <v>13</v>
      </c>
      <c r="AB224" s="551" t="s">
        <v>24</v>
      </c>
      <c r="AC224" s="552">
        <f t="shared" si="295"/>
        <v>2</v>
      </c>
      <c r="AD224" s="202" t="s">
        <v>38</v>
      </c>
      <c r="AE224" s="553" t="str">
        <f>IFERROR(ROUNDDOWN(ROUND(L224*R224,0)*M224,0)*AC224,"")</f>
        <v/>
      </c>
      <c r="AF224" s="554" t="str">
        <f>IFERROR(ROUNDDOWN(ROUND(L224*(R224-P224),0)*M224,0)*AC224,"")</f>
        <v/>
      </c>
      <c r="AG224" s="555"/>
      <c r="AH224" s="465"/>
      <c r="AI224" s="473"/>
      <c r="AJ224" s="470"/>
      <c r="AK224" s="471"/>
      <c r="AL224" s="451"/>
      <c r="AM224" s="452"/>
      <c r="AN224" s="556" t="str">
        <f t="shared" ref="AN224" si="297">IF(AP224="","",IF(R224&lt;P224,"！加算の要件上は問題ありませんが、令和６年３月と比較して４・５月に加算率が下がる計画になっています。",""))</f>
        <v/>
      </c>
      <c r="AP224" s="557" t="str">
        <f>IF(K224&lt;&gt;"","P列・R列に色付け","")</f>
        <v/>
      </c>
      <c r="AQ224" s="558" t="str">
        <f>IFERROR(VLOOKUP(K224,【参考】数式用!$AJ$2:$AK$24,2,FALSE),"")</f>
        <v/>
      </c>
      <c r="AR224" s="560" t="str">
        <f>Q224&amp;Q225&amp;Q226</f>
        <v/>
      </c>
      <c r="AS224" s="558" t="str">
        <f t="shared" ref="AS224" si="298">IF(AG226&lt;&gt;0,IF(AH226="○","入力済","未入力"),"")</f>
        <v/>
      </c>
      <c r="AT224" s="559" t="str">
        <f>IF(OR(Q224="処遇加算Ⅰ",Q224="処遇加算Ⅱ"),IF(OR(AI224="○",AI224="令和６年度中に満たす"),"入力済","未入力"),"")</f>
        <v/>
      </c>
      <c r="AU224" s="560" t="str">
        <f>IF(Q224="処遇加算Ⅲ",IF(AJ224="○","入力済","未入力"),"")</f>
        <v/>
      </c>
      <c r="AV224" s="558" t="str">
        <f>IF(Q224="処遇加算Ⅰ",IF(OR(AK224="○",AK224="令和６年度中に満たす"),"入力済","未入力"),"")</f>
        <v/>
      </c>
      <c r="AW224" s="558"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43" t="str">
        <f>IF(Q225="特定加算Ⅰ",IF(AM225="","未入力","入力済"),"")</f>
        <v/>
      </c>
      <c r="AY224" s="543" t="str">
        <f>G224</f>
        <v/>
      </c>
    </row>
    <row r="225" spans="1:51" ht="32.1" customHeight="1">
      <c r="A225" s="1226"/>
      <c r="B225" s="1223"/>
      <c r="C225" s="1223"/>
      <c r="D225" s="1223"/>
      <c r="E225" s="1223"/>
      <c r="F225" s="1223"/>
      <c r="G225" s="1235"/>
      <c r="H225" s="1235"/>
      <c r="I225" s="1235"/>
      <c r="J225" s="1235"/>
      <c r="K225" s="1235"/>
      <c r="L225" s="1238"/>
      <c r="M225" s="1293"/>
      <c r="N225" s="561" t="s">
        <v>170</v>
      </c>
      <c r="O225" s="152"/>
      <c r="P225" s="562" t="str">
        <f>IFERROR(VLOOKUP(K224,【参考】数式用!$A$5:$J$27,MATCH(O225,【参考】数式用!$B$4:$J$4,0)+1,0),"")</f>
        <v/>
      </c>
      <c r="Q225" s="152"/>
      <c r="R225" s="562" t="str">
        <f>IFERROR(VLOOKUP(K224,【参考】数式用!$A$5:$J$27,MATCH(Q225,【参考】数式用!$B$4:$J$4,0)+1,0),"")</f>
        <v/>
      </c>
      <c r="S225" s="173" t="s">
        <v>19</v>
      </c>
      <c r="T225" s="563">
        <v>6</v>
      </c>
      <c r="U225" s="174" t="s">
        <v>10</v>
      </c>
      <c r="V225" s="109">
        <v>4</v>
      </c>
      <c r="W225" s="174" t="s">
        <v>45</v>
      </c>
      <c r="X225" s="563">
        <v>6</v>
      </c>
      <c r="Y225" s="174" t="s">
        <v>10</v>
      </c>
      <c r="Z225" s="109">
        <v>5</v>
      </c>
      <c r="AA225" s="174" t="s">
        <v>13</v>
      </c>
      <c r="AB225" s="564" t="s">
        <v>24</v>
      </c>
      <c r="AC225" s="565">
        <f t="shared" si="295"/>
        <v>2</v>
      </c>
      <c r="AD225" s="174" t="s">
        <v>38</v>
      </c>
      <c r="AE225" s="566" t="str">
        <f>IFERROR(ROUNDDOWN(ROUND(L224*R225,0)*M224,0)*AC225,"")</f>
        <v/>
      </c>
      <c r="AF225" s="567" t="str">
        <f>IFERROR(ROUNDDOWN(ROUND(L224*(R225-P225),0)*M224,0)*AC225,"")</f>
        <v/>
      </c>
      <c r="AG225" s="568"/>
      <c r="AH225" s="453"/>
      <c r="AI225" s="454"/>
      <c r="AJ225" s="455"/>
      <c r="AK225" s="456"/>
      <c r="AL225" s="457"/>
      <c r="AM225" s="458"/>
      <c r="AN225" s="569" t="str">
        <f t="shared" ref="AN225" si="299">IF(AP224="","",IF(OR(Z224=4,Z225=4,Z226=4),"！加算の要件上は問題ありませんが、算定期間の終わりが令和６年５月になっていません。区分変更の場合は、「基本情報入力シート」で同じ事業所を２行に分けて記入してください。",""))</f>
        <v/>
      </c>
      <c r="AO225" s="570"/>
      <c r="AP225" s="557" t="str">
        <f>IF(K224&lt;&gt;"","P列・R列に色付け","")</f>
        <v/>
      </c>
      <c r="AY225" s="543" t="str">
        <f>G224</f>
        <v/>
      </c>
    </row>
    <row r="226" spans="1:51" ht="32.1" customHeight="1" thickBot="1">
      <c r="A226" s="1227"/>
      <c r="B226" s="1224"/>
      <c r="C226" s="1224"/>
      <c r="D226" s="1224"/>
      <c r="E226" s="1224"/>
      <c r="F226" s="1224"/>
      <c r="G226" s="1236"/>
      <c r="H226" s="1236"/>
      <c r="I226" s="1236"/>
      <c r="J226" s="1236"/>
      <c r="K226" s="1236"/>
      <c r="L226" s="1239"/>
      <c r="M226" s="1294"/>
      <c r="N226" s="571" t="s">
        <v>140</v>
      </c>
      <c r="O226" s="155"/>
      <c r="P226" s="591" t="str">
        <f>IFERROR(VLOOKUP(K224,【参考】数式用!$A$5:$J$27,MATCH(O226,【参考】数式用!$B$4:$J$4,0)+1,0),"")</f>
        <v/>
      </c>
      <c r="Q226" s="153"/>
      <c r="R226" s="572" t="str">
        <f>IFERROR(VLOOKUP(K224,【参考】数式用!$A$5:$J$27,MATCH(Q226,【参考】数式用!$B$4:$J$4,0)+1,0),"")</f>
        <v/>
      </c>
      <c r="S226" s="573" t="s">
        <v>19</v>
      </c>
      <c r="T226" s="574">
        <v>6</v>
      </c>
      <c r="U226" s="575" t="s">
        <v>10</v>
      </c>
      <c r="V226" s="110">
        <v>4</v>
      </c>
      <c r="W226" s="575" t="s">
        <v>45</v>
      </c>
      <c r="X226" s="574">
        <v>6</v>
      </c>
      <c r="Y226" s="575" t="s">
        <v>10</v>
      </c>
      <c r="Z226" s="110">
        <v>5</v>
      </c>
      <c r="AA226" s="575" t="s">
        <v>13</v>
      </c>
      <c r="AB226" s="576" t="s">
        <v>24</v>
      </c>
      <c r="AC226" s="577">
        <f t="shared" si="295"/>
        <v>2</v>
      </c>
      <c r="AD226" s="575" t="s">
        <v>38</v>
      </c>
      <c r="AE226" s="590" t="str">
        <f>IFERROR(ROUNDDOWN(ROUND(L224*R226,0)*M224,0)*AC226,"")</f>
        <v/>
      </c>
      <c r="AF226" s="579" t="str">
        <f>IFERROR(ROUNDDOWN(ROUND(L224*(R226-P226),0)*M224,0)*AC226,"")</f>
        <v/>
      </c>
      <c r="AG226" s="580">
        <f t="shared" si="246"/>
        <v>0</v>
      </c>
      <c r="AH226" s="459"/>
      <c r="AI226" s="460"/>
      <c r="AJ226" s="461"/>
      <c r="AK226" s="462"/>
      <c r="AL226" s="463"/>
      <c r="AM226" s="464"/>
      <c r="AN226" s="581" t="str">
        <f t="shared" ref="AN226" si="30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82" t="str">
        <f>IF(K224&lt;&gt;"","P列・R列に色付け","")</f>
        <v/>
      </c>
      <c r="AQ226" s="583"/>
      <c r="AR226" s="583"/>
      <c r="AX226" s="584"/>
      <c r="AY226" s="543" t="str">
        <f>G224</f>
        <v/>
      </c>
    </row>
    <row r="227" spans="1:51" ht="32.1" customHeight="1">
      <c r="A227" s="1225">
        <v>72</v>
      </c>
      <c r="B227" s="1222" t="str">
        <f>IF(基本情報入力シート!C125="","",基本情報入力シート!C125)</f>
        <v/>
      </c>
      <c r="C227" s="1222"/>
      <c r="D227" s="1222"/>
      <c r="E227" s="1222"/>
      <c r="F227" s="1222"/>
      <c r="G227" s="1234" t="str">
        <f>IF(基本情報入力シート!M125="","",基本情報入力シート!M125)</f>
        <v/>
      </c>
      <c r="H227" s="1234" t="str">
        <f>IF(基本情報入力シート!R125="","",基本情報入力シート!R125)</f>
        <v/>
      </c>
      <c r="I227" s="1234" t="str">
        <f>IF(基本情報入力シート!W125="","",基本情報入力シート!W125)</f>
        <v/>
      </c>
      <c r="J227" s="1234" t="str">
        <f>IF(基本情報入力シート!X125="","",基本情報入力シート!X125)</f>
        <v/>
      </c>
      <c r="K227" s="1234" t="str">
        <f>IF(基本情報入力シート!Y125="","",基本情報入力シート!Y125)</f>
        <v/>
      </c>
      <c r="L227" s="1237" t="str">
        <f>IF(基本情報入力シート!AB125="","",基本情報入力シート!AB125)</f>
        <v/>
      </c>
      <c r="M227" s="1292" t="str">
        <f>IF(基本情報入力シート!AC125="","",基本情報入力シート!AC125)</f>
        <v/>
      </c>
      <c r="N227" s="547" t="s">
        <v>183</v>
      </c>
      <c r="O227" s="151"/>
      <c r="P227" s="548" t="str">
        <f>IFERROR(VLOOKUP(K227,【参考】数式用!$A$5:$J$27,MATCH(O227,【参考】数式用!$B$4:$J$4,0)+1,0),"")</f>
        <v/>
      </c>
      <c r="Q227" s="151"/>
      <c r="R227" s="548" t="str">
        <f>IFERROR(VLOOKUP(K227,【参考】数式用!$A$5:$J$27,MATCH(Q227,【参考】数式用!$B$4:$J$4,0)+1,0),"")</f>
        <v/>
      </c>
      <c r="S227" s="549" t="s">
        <v>19</v>
      </c>
      <c r="T227" s="550">
        <v>6</v>
      </c>
      <c r="U227" s="202" t="s">
        <v>10</v>
      </c>
      <c r="V227" s="71">
        <v>4</v>
      </c>
      <c r="W227" s="202" t="s">
        <v>45</v>
      </c>
      <c r="X227" s="550">
        <v>6</v>
      </c>
      <c r="Y227" s="202" t="s">
        <v>10</v>
      </c>
      <c r="Z227" s="71">
        <v>5</v>
      </c>
      <c r="AA227" s="202" t="s">
        <v>13</v>
      </c>
      <c r="AB227" s="551" t="s">
        <v>24</v>
      </c>
      <c r="AC227" s="552">
        <f t="shared" si="295"/>
        <v>2</v>
      </c>
      <c r="AD227" s="202" t="s">
        <v>38</v>
      </c>
      <c r="AE227" s="553" t="str">
        <f>IFERROR(ROUNDDOWN(ROUND(L227*R227,0)*M227,0)*AC227,"")</f>
        <v/>
      </c>
      <c r="AF227" s="554" t="str">
        <f>IFERROR(ROUNDDOWN(ROUND(L227*(R227-P227),0)*M227,0)*AC227,"")</f>
        <v/>
      </c>
      <c r="AG227" s="555"/>
      <c r="AH227" s="465"/>
      <c r="AI227" s="473"/>
      <c r="AJ227" s="470"/>
      <c r="AK227" s="471"/>
      <c r="AL227" s="451"/>
      <c r="AM227" s="452"/>
      <c r="AN227" s="556" t="str">
        <f t="shared" ref="AN227" si="301">IF(AP227="","",IF(R227&lt;P227,"！加算の要件上は問題ありませんが、令和６年３月と比較して４・５月に加算率が下がる計画になっています。",""))</f>
        <v/>
      </c>
      <c r="AP227" s="557" t="str">
        <f>IF(K227&lt;&gt;"","P列・R列に色付け","")</f>
        <v/>
      </c>
      <c r="AQ227" s="558" t="str">
        <f>IFERROR(VLOOKUP(K227,【参考】数式用!$AJ$2:$AK$24,2,FALSE),"")</f>
        <v/>
      </c>
      <c r="AR227" s="560" t="str">
        <f>Q227&amp;Q228&amp;Q229</f>
        <v/>
      </c>
      <c r="AS227" s="558" t="str">
        <f t="shared" ref="AS227" si="302">IF(AG229&lt;&gt;0,IF(AH229="○","入力済","未入力"),"")</f>
        <v/>
      </c>
      <c r="AT227" s="559" t="str">
        <f>IF(OR(Q227="処遇加算Ⅰ",Q227="処遇加算Ⅱ"),IF(OR(AI227="○",AI227="令和６年度中に満たす"),"入力済","未入力"),"")</f>
        <v/>
      </c>
      <c r="AU227" s="560" t="str">
        <f>IF(Q227="処遇加算Ⅲ",IF(AJ227="○","入力済","未入力"),"")</f>
        <v/>
      </c>
      <c r="AV227" s="558" t="str">
        <f>IF(Q227="処遇加算Ⅰ",IF(OR(AK227="○",AK227="令和６年度中に満たす"),"入力済","未入力"),"")</f>
        <v/>
      </c>
      <c r="AW227" s="558"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43" t="str">
        <f>IF(Q228="特定加算Ⅰ",IF(AM228="","未入力","入力済"),"")</f>
        <v/>
      </c>
      <c r="AY227" s="543" t="str">
        <f>G227</f>
        <v/>
      </c>
    </row>
    <row r="228" spans="1:51" ht="32.1" customHeight="1">
      <c r="A228" s="1226"/>
      <c r="B228" s="1223"/>
      <c r="C228" s="1223"/>
      <c r="D228" s="1223"/>
      <c r="E228" s="1223"/>
      <c r="F228" s="1223"/>
      <c r="G228" s="1235"/>
      <c r="H228" s="1235"/>
      <c r="I228" s="1235"/>
      <c r="J228" s="1235"/>
      <c r="K228" s="1235"/>
      <c r="L228" s="1238"/>
      <c r="M228" s="1293"/>
      <c r="N228" s="561" t="s">
        <v>170</v>
      </c>
      <c r="O228" s="152"/>
      <c r="P228" s="562" t="str">
        <f>IFERROR(VLOOKUP(K227,【参考】数式用!$A$5:$J$27,MATCH(O228,【参考】数式用!$B$4:$J$4,0)+1,0),"")</f>
        <v/>
      </c>
      <c r="Q228" s="152"/>
      <c r="R228" s="562" t="str">
        <f>IFERROR(VLOOKUP(K227,【参考】数式用!$A$5:$J$27,MATCH(Q228,【参考】数式用!$B$4:$J$4,0)+1,0),"")</f>
        <v/>
      </c>
      <c r="S228" s="173" t="s">
        <v>19</v>
      </c>
      <c r="T228" s="563">
        <v>6</v>
      </c>
      <c r="U228" s="174" t="s">
        <v>10</v>
      </c>
      <c r="V228" s="109">
        <v>4</v>
      </c>
      <c r="W228" s="174" t="s">
        <v>45</v>
      </c>
      <c r="X228" s="563">
        <v>6</v>
      </c>
      <c r="Y228" s="174" t="s">
        <v>10</v>
      </c>
      <c r="Z228" s="109">
        <v>5</v>
      </c>
      <c r="AA228" s="174" t="s">
        <v>13</v>
      </c>
      <c r="AB228" s="564" t="s">
        <v>24</v>
      </c>
      <c r="AC228" s="565">
        <f t="shared" si="295"/>
        <v>2</v>
      </c>
      <c r="AD228" s="174" t="s">
        <v>38</v>
      </c>
      <c r="AE228" s="566" t="str">
        <f>IFERROR(ROUNDDOWN(ROUND(L227*R228,0)*M227,0)*AC228,"")</f>
        <v/>
      </c>
      <c r="AF228" s="567" t="str">
        <f>IFERROR(ROUNDDOWN(ROUND(L227*(R228-P228),0)*M227,0)*AC228,"")</f>
        <v/>
      </c>
      <c r="AG228" s="568"/>
      <c r="AH228" s="453"/>
      <c r="AI228" s="454"/>
      <c r="AJ228" s="455"/>
      <c r="AK228" s="456"/>
      <c r="AL228" s="457"/>
      <c r="AM228" s="458"/>
      <c r="AN228" s="569" t="str">
        <f t="shared" ref="AN228" si="303">IF(AP227="","",IF(OR(Z227=4,Z228=4,Z229=4),"！加算の要件上は問題ありませんが、算定期間の終わりが令和６年５月になっていません。区分変更の場合は、「基本情報入力シート」で同じ事業所を２行に分けて記入してください。",""))</f>
        <v/>
      </c>
      <c r="AO228" s="570"/>
      <c r="AP228" s="557" t="str">
        <f>IF(K227&lt;&gt;"","P列・R列に色付け","")</f>
        <v/>
      </c>
      <c r="AY228" s="543" t="str">
        <f>G227</f>
        <v/>
      </c>
    </row>
    <row r="229" spans="1:51" ht="32.1" customHeight="1" thickBot="1">
      <c r="A229" s="1227"/>
      <c r="B229" s="1224"/>
      <c r="C229" s="1224"/>
      <c r="D229" s="1224"/>
      <c r="E229" s="1224"/>
      <c r="F229" s="1224"/>
      <c r="G229" s="1236"/>
      <c r="H229" s="1236"/>
      <c r="I229" s="1236"/>
      <c r="J229" s="1236"/>
      <c r="K229" s="1236"/>
      <c r="L229" s="1239"/>
      <c r="M229" s="1294"/>
      <c r="N229" s="571" t="s">
        <v>140</v>
      </c>
      <c r="O229" s="155"/>
      <c r="P229" s="591" t="str">
        <f>IFERROR(VLOOKUP(K227,【参考】数式用!$A$5:$J$27,MATCH(O229,【参考】数式用!$B$4:$J$4,0)+1,0),"")</f>
        <v/>
      </c>
      <c r="Q229" s="153"/>
      <c r="R229" s="572" t="str">
        <f>IFERROR(VLOOKUP(K227,【参考】数式用!$A$5:$J$27,MATCH(Q229,【参考】数式用!$B$4:$J$4,0)+1,0),"")</f>
        <v/>
      </c>
      <c r="S229" s="573" t="s">
        <v>19</v>
      </c>
      <c r="T229" s="574">
        <v>6</v>
      </c>
      <c r="U229" s="575" t="s">
        <v>10</v>
      </c>
      <c r="V229" s="110">
        <v>4</v>
      </c>
      <c r="W229" s="575" t="s">
        <v>45</v>
      </c>
      <c r="X229" s="574">
        <v>6</v>
      </c>
      <c r="Y229" s="575" t="s">
        <v>10</v>
      </c>
      <c r="Z229" s="110">
        <v>5</v>
      </c>
      <c r="AA229" s="575" t="s">
        <v>13</v>
      </c>
      <c r="AB229" s="576" t="s">
        <v>24</v>
      </c>
      <c r="AC229" s="577">
        <f t="shared" si="295"/>
        <v>2</v>
      </c>
      <c r="AD229" s="575" t="s">
        <v>38</v>
      </c>
      <c r="AE229" s="590" t="str">
        <f>IFERROR(ROUNDDOWN(ROUND(L227*R229,0)*M227,0)*AC229,"")</f>
        <v/>
      </c>
      <c r="AF229" s="579" t="str">
        <f>IFERROR(ROUNDDOWN(ROUND(L227*(R229-P229),0)*M227,0)*AC229,"")</f>
        <v/>
      </c>
      <c r="AG229" s="580">
        <f t="shared" si="246"/>
        <v>0</v>
      </c>
      <c r="AH229" s="459"/>
      <c r="AI229" s="460"/>
      <c r="AJ229" s="461"/>
      <c r="AK229" s="462"/>
      <c r="AL229" s="463"/>
      <c r="AM229" s="464"/>
      <c r="AN229" s="581" t="str">
        <f t="shared" ref="AN229" si="304">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82" t="str">
        <f>IF(K227&lt;&gt;"","P列・R列に色付け","")</f>
        <v/>
      </c>
      <c r="AQ229" s="583"/>
      <c r="AR229" s="583"/>
      <c r="AX229" s="584"/>
      <c r="AY229" s="543" t="str">
        <f>G227</f>
        <v/>
      </c>
    </row>
    <row r="230" spans="1:51" ht="32.1" customHeight="1">
      <c r="A230" s="1225">
        <v>73</v>
      </c>
      <c r="B230" s="1222" t="str">
        <f>IF(基本情報入力シート!C126="","",基本情報入力シート!C126)</f>
        <v/>
      </c>
      <c r="C230" s="1222"/>
      <c r="D230" s="1222"/>
      <c r="E230" s="1222"/>
      <c r="F230" s="1222"/>
      <c r="G230" s="1234" t="str">
        <f>IF(基本情報入力シート!M126="","",基本情報入力シート!M126)</f>
        <v/>
      </c>
      <c r="H230" s="1234" t="str">
        <f>IF(基本情報入力シート!R126="","",基本情報入力シート!R126)</f>
        <v/>
      </c>
      <c r="I230" s="1234" t="str">
        <f>IF(基本情報入力シート!W126="","",基本情報入力シート!W126)</f>
        <v/>
      </c>
      <c r="J230" s="1234" t="str">
        <f>IF(基本情報入力シート!X126="","",基本情報入力シート!X126)</f>
        <v/>
      </c>
      <c r="K230" s="1234" t="str">
        <f>IF(基本情報入力シート!Y126="","",基本情報入力シート!Y126)</f>
        <v/>
      </c>
      <c r="L230" s="1237" t="str">
        <f>IF(基本情報入力シート!AB126="","",基本情報入力シート!AB126)</f>
        <v/>
      </c>
      <c r="M230" s="1292" t="str">
        <f>IF(基本情報入力シート!AC126="","",基本情報入力シート!AC126)</f>
        <v/>
      </c>
      <c r="N230" s="547" t="s">
        <v>183</v>
      </c>
      <c r="O230" s="151"/>
      <c r="P230" s="548" t="str">
        <f>IFERROR(VLOOKUP(K230,【参考】数式用!$A$5:$J$27,MATCH(O230,【参考】数式用!$B$4:$J$4,0)+1,0),"")</f>
        <v/>
      </c>
      <c r="Q230" s="151"/>
      <c r="R230" s="548" t="str">
        <f>IFERROR(VLOOKUP(K230,【参考】数式用!$A$5:$J$27,MATCH(Q230,【参考】数式用!$B$4:$J$4,0)+1,0),"")</f>
        <v/>
      </c>
      <c r="S230" s="549" t="s">
        <v>19</v>
      </c>
      <c r="T230" s="550">
        <v>6</v>
      </c>
      <c r="U230" s="202" t="s">
        <v>10</v>
      </c>
      <c r="V230" s="71">
        <v>4</v>
      </c>
      <c r="W230" s="202" t="s">
        <v>45</v>
      </c>
      <c r="X230" s="550">
        <v>6</v>
      </c>
      <c r="Y230" s="202" t="s">
        <v>10</v>
      </c>
      <c r="Z230" s="71">
        <v>5</v>
      </c>
      <c r="AA230" s="202" t="s">
        <v>13</v>
      </c>
      <c r="AB230" s="551" t="s">
        <v>24</v>
      </c>
      <c r="AC230" s="552">
        <f t="shared" si="295"/>
        <v>2</v>
      </c>
      <c r="AD230" s="202" t="s">
        <v>38</v>
      </c>
      <c r="AE230" s="553" t="str">
        <f>IFERROR(ROUNDDOWN(ROUND(L230*R230,0)*M230,0)*AC230,"")</f>
        <v/>
      </c>
      <c r="AF230" s="554" t="str">
        <f>IFERROR(ROUNDDOWN(ROUND(L230*(R230-P230),0)*M230,0)*AC230,"")</f>
        <v/>
      </c>
      <c r="AG230" s="555"/>
      <c r="AH230" s="465"/>
      <c r="AI230" s="473"/>
      <c r="AJ230" s="470"/>
      <c r="AK230" s="471"/>
      <c r="AL230" s="451"/>
      <c r="AM230" s="452"/>
      <c r="AN230" s="556" t="str">
        <f t="shared" ref="AN230" si="305">IF(AP230="","",IF(R230&lt;P230,"！加算の要件上は問題ありませんが、令和６年３月と比較して４・５月に加算率が下がる計画になっています。",""))</f>
        <v/>
      </c>
      <c r="AP230" s="557" t="str">
        <f>IF(K230&lt;&gt;"","P列・R列に色付け","")</f>
        <v/>
      </c>
      <c r="AQ230" s="558" t="str">
        <f>IFERROR(VLOOKUP(K230,【参考】数式用!$AJ$2:$AK$24,2,FALSE),"")</f>
        <v/>
      </c>
      <c r="AR230" s="560" t="str">
        <f>Q230&amp;Q231&amp;Q232</f>
        <v/>
      </c>
      <c r="AS230" s="558" t="str">
        <f t="shared" ref="AS230" si="306">IF(AG232&lt;&gt;0,IF(AH232="○","入力済","未入力"),"")</f>
        <v/>
      </c>
      <c r="AT230" s="559" t="str">
        <f>IF(OR(Q230="処遇加算Ⅰ",Q230="処遇加算Ⅱ"),IF(OR(AI230="○",AI230="令和６年度中に満たす"),"入力済","未入力"),"")</f>
        <v/>
      </c>
      <c r="AU230" s="560" t="str">
        <f>IF(Q230="処遇加算Ⅲ",IF(AJ230="○","入力済","未入力"),"")</f>
        <v/>
      </c>
      <c r="AV230" s="558" t="str">
        <f>IF(Q230="処遇加算Ⅰ",IF(OR(AK230="○",AK230="令和６年度中に満たす"),"入力済","未入力"),"")</f>
        <v/>
      </c>
      <c r="AW230" s="558"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43" t="str">
        <f>IF(Q231="特定加算Ⅰ",IF(AM231="","未入力","入力済"),"")</f>
        <v/>
      </c>
      <c r="AY230" s="543" t="str">
        <f>G230</f>
        <v/>
      </c>
    </row>
    <row r="231" spans="1:51" ht="32.1" customHeight="1">
      <c r="A231" s="1226"/>
      <c r="B231" s="1223"/>
      <c r="C231" s="1223"/>
      <c r="D231" s="1223"/>
      <c r="E231" s="1223"/>
      <c r="F231" s="1223"/>
      <c r="G231" s="1235"/>
      <c r="H231" s="1235"/>
      <c r="I231" s="1235"/>
      <c r="J231" s="1235"/>
      <c r="K231" s="1235"/>
      <c r="L231" s="1238"/>
      <c r="M231" s="1293"/>
      <c r="N231" s="561" t="s">
        <v>170</v>
      </c>
      <c r="O231" s="152"/>
      <c r="P231" s="562" t="str">
        <f>IFERROR(VLOOKUP(K230,【参考】数式用!$A$5:$J$27,MATCH(O231,【参考】数式用!$B$4:$J$4,0)+1,0),"")</f>
        <v/>
      </c>
      <c r="Q231" s="152"/>
      <c r="R231" s="562" t="str">
        <f>IFERROR(VLOOKUP(K230,【参考】数式用!$A$5:$J$27,MATCH(Q231,【参考】数式用!$B$4:$J$4,0)+1,0),"")</f>
        <v/>
      </c>
      <c r="S231" s="173" t="s">
        <v>19</v>
      </c>
      <c r="T231" s="563">
        <v>6</v>
      </c>
      <c r="U231" s="174" t="s">
        <v>10</v>
      </c>
      <c r="V231" s="109">
        <v>4</v>
      </c>
      <c r="W231" s="174" t="s">
        <v>45</v>
      </c>
      <c r="X231" s="563">
        <v>6</v>
      </c>
      <c r="Y231" s="174" t="s">
        <v>10</v>
      </c>
      <c r="Z231" s="109">
        <v>5</v>
      </c>
      <c r="AA231" s="174" t="s">
        <v>13</v>
      </c>
      <c r="AB231" s="564" t="s">
        <v>24</v>
      </c>
      <c r="AC231" s="565">
        <f t="shared" si="295"/>
        <v>2</v>
      </c>
      <c r="AD231" s="174" t="s">
        <v>38</v>
      </c>
      <c r="AE231" s="566" t="str">
        <f>IFERROR(ROUNDDOWN(ROUND(L230*R231,0)*M230,0)*AC231,"")</f>
        <v/>
      </c>
      <c r="AF231" s="567" t="str">
        <f>IFERROR(ROUNDDOWN(ROUND(L230*(R231-P231),0)*M230,0)*AC231,"")</f>
        <v/>
      </c>
      <c r="AG231" s="568"/>
      <c r="AH231" s="453"/>
      <c r="AI231" s="454"/>
      <c r="AJ231" s="455"/>
      <c r="AK231" s="456"/>
      <c r="AL231" s="457"/>
      <c r="AM231" s="458"/>
      <c r="AN231" s="569" t="str">
        <f t="shared" ref="AN231" si="307">IF(AP230="","",IF(OR(Z230=4,Z231=4,Z232=4),"！加算の要件上は問題ありませんが、算定期間の終わりが令和６年５月になっていません。区分変更の場合は、「基本情報入力シート」で同じ事業所を２行に分けて記入してください。",""))</f>
        <v/>
      </c>
      <c r="AO231" s="570"/>
      <c r="AP231" s="557" t="str">
        <f>IF(K230&lt;&gt;"","P列・R列に色付け","")</f>
        <v/>
      </c>
      <c r="AY231" s="543" t="str">
        <f>G230</f>
        <v/>
      </c>
    </row>
    <row r="232" spans="1:51" ht="32.1" customHeight="1" thickBot="1">
      <c r="A232" s="1227"/>
      <c r="B232" s="1224"/>
      <c r="C232" s="1224"/>
      <c r="D232" s="1224"/>
      <c r="E232" s="1224"/>
      <c r="F232" s="1224"/>
      <c r="G232" s="1236"/>
      <c r="H232" s="1236"/>
      <c r="I232" s="1236"/>
      <c r="J232" s="1236"/>
      <c r="K232" s="1236"/>
      <c r="L232" s="1239"/>
      <c r="M232" s="1294"/>
      <c r="N232" s="571" t="s">
        <v>140</v>
      </c>
      <c r="O232" s="155"/>
      <c r="P232" s="591" t="str">
        <f>IFERROR(VLOOKUP(K230,【参考】数式用!$A$5:$J$27,MATCH(O232,【参考】数式用!$B$4:$J$4,0)+1,0),"")</f>
        <v/>
      </c>
      <c r="Q232" s="153"/>
      <c r="R232" s="572" t="str">
        <f>IFERROR(VLOOKUP(K230,【参考】数式用!$A$5:$J$27,MATCH(Q232,【参考】数式用!$B$4:$J$4,0)+1,0),"")</f>
        <v/>
      </c>
      <c r="S232" s="573" t="s">
        <v>19</v>
      </c>
      <c r="T232" s="574">
        <v>6</v>
      </c>
      <c r="U232" s="575" t="s">
        <v>10</v>
      </c>
      <c r="V232" s="110">
        <v>4</v>
      </c>
      <c r="W232" s="575" t="s">
        <v>45</v>
      </c>
      <c r="X232" s="574">
        <v>6</v>
      </c>
      <c r="Y232" s="575" t="s">
        <v>10</v>
      </c>
      <c r="Z232" s="110">
        <v>5</v>
      </c>
      <c r="AA232" s="575" t="s">
        <v>13</v>
      </c>
      <c r="AB232" s="576" t="s">
        <v>24</v>
      </c>
      <c r="AC232" s="577">
        <f t="shared" si="295"/>
        <v>2</v>
      </c>
      <c r="AD232" s="575" t="s">
        <v>38</v>
      </c>
      <c r="AE232" s="590" t="str">
        <f>IFERROR(ROUNDDOWN(ROUND(L230*R232,0)*M230,0)*AC232,"")</f>
        <v/>
      </c>
      <c r="AF232" s="579" t="str">
        <f>IFERROR(ROUNDDOWN(ROUND(L230*(R232-P232),0)*M230,0)*AC232,"")</f>
        <v/>
      </c>
      <c r="AG232" s="580">
        <f t="shared" si="246"/>
        <v>0</v>
      </c>
      <c r="AH232" s="459"/>
      <c r="AI232" s="460"/>
      <c r="AJ232" s="461"/>
      <c r="AK232" s="462"/>
      <c r="AL232" s="463"/>
      <c r="AM232" s="464"/>
      <c r="AN232" s="581" t="str">
        <f t="shared" ref="AN232" si="308">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82" t="str">
        <f>IF(K230&lt;&gt;"","P列・R列に色付け","")</f>
        <v/>
      </c>
      <c r="AQ232" s="583"/>
      <c r="AR232" s="583"/>
      <c r="AX232" s="584"/>
      <c r="AY232" s="543" t="str">
        <f>G230</f>
        <v/>
      </c>
    </row>
    <row r="233" spans="1:51" ht="32.1" customHeight="1">
      <c r="A233" s="1225">
        <v>74</v>
      </c>
      <c r="B233" s="1222" t="str">
        <f>IF(基本情報入力シート!C127="","",基本情報入力シート!C127)</f>
        <v/>
      </c>
      <c r="C233" s="1222"/>
      <c r="D233" s="1222"/>
      <c r="E233" s="1222"/>
      <c r="F233" s="1222"/>
      <c r="G233" s="1234" t="str">
        <f>IF(基本情報入力シート!M127="","",基本情報入力シート!M127)</f>
        <v/>
      </c>
      <c r="H233" s="1234" t="str">
        <f>IF(基本情報入力シート!R127="","",基本情報入力シート!R127)</f>
        <v/>
      </c>
      <c r="I233" s="1234" t="str">
        <f>IF(基本情報入力シート!W127="","",基本情報入力シート!W127)</f>
        <v/>
      </c>
      <c r="J233" s="1234" t="str">
        <f>IF(基本情報入力シート!X127="","",基本情報入力シート!X127)</f>
        <v/>
      </c>
      <c r="K233" s="1234" t="str">
        <f>IF(基本情報入力シート!Y127="","",基本情報入力シート!Y127)</f>
        <v/>
      </c>
      <c r="L233" s="1237" t="str">
        <f>IF(基本情報入力シート!AB127="","",基本情報入力シート!AB127)</f>
        <v/>
      </c>
      <c r="M233" s="1292" t="str">
        <f>IF(基本情報入力シート!AC127="","",基本情報入力シート!AC127)</f>
        <v/>
      </c>
      <c r="N233" s="547" t="s">
        <v>183</v>
      </c>
      <c r="O233" s="151"/>
      <c r="P233" s="548" t="str">
        <f>IFERROR(VLOOKUP(K233,【参考】数式用!$A$5:$J$27,MATCH(O233,【参考】数式用!$B$4:$J$4,0)+1,0),"")</f>
        <v/>
      </c>
      <c r="Q233" s="151"/>
      <c r="R233" s="548" t="str">
        <f>IFERROR(VLOOKUP(K233,【参考】数式用!$A$5:$J$27,MATCH(Q233,【参考】数式用!$B$4:$J$4,0)+1,0),"")</f>
        <v/>
      </c>
      <c r="S233" s="549" t="s">
        <v>19</v>
      </c>
      <c r="T233" s="550">
        <v>6</v>
      </c>
      <c r="U233" s="202" t="s">
        <v>10</v>
      </c>
      <c r="V233" s="71">
        <v>4</v>
      </c>
      <c r="W233" s="202" t="s">
        <v>45</v>
      </c>
      <c r="X233" s="550">
        <v>6</v>
      </c>
      <c r="Y233" s="202" t="s">
        <v>10</v>
      </c>
      <c r="Z233" s="71">
        <v>5</v>
      </c>
      <c r="AA233" s="202" t="s">
        <v>13</v>
      </c>
      <c r="AB233" s="551" t="s">
        <v>24</v>
      </c>
      <c r="AC233" s="552">
        <f t="shared" si="295"/>
        <v>2</v>
      </c>
      <c r="AD233" s="202" t="s">
        <v>38</v>
      </c>
      <c r="AE233" s="553" t="str">
        <f>IFERROR(ROUNDDOWN(ROUND(L233*R233,0)*M233,0)*AC233,"")</f>
        <v/>
      </c>
      <c r="AF233" s="554" t="str">
        <f>IFERROR(ROUNDDOWN(ROUND(L233*(R233-P233),0)*M233,0)*AC233,"")</f>
        <v/>
      </c>
      <c r="AG233" s="555"/>
      <c r="AH233" s="465"/>
      <c r="AI233" s="473"/>
      <c r="AJ233" s="470"/>
      <c r="AK233" s="471"/>
      <c r="AL233" s="451"/>
      <c r="AM233" s="452"/>
      <c r="AN233" s="556" t="str">
        <f t="shared" ref="AN233" si="309">IF(AP233="","",IF(R233&lt;P233,"！加算の要件上は問題ありませんが、令和６年３月と比較して４・５月に加算率が下がる計画になっています。",""))</f>
        <v/>
      </c>
      <c r="AP233" s="557" t="str">
        <f>IF(K233&lt;&gt;"","P列・R列に色付け","")</f>
        <v/>
      </c>
      <c r="AQ233" s="558" t="str">
        <f>IFERROR(VLOOKUP(K233,【参考】数式用!$AJ$2:$AK$24,2,FALSE),"")</f>
        <v/>
      </c>
      <c r="AR233" s="560" t="str">
        <f>Q233&amp;Q234&amp;Q235</f>
        <v/>
      </c>
      <c r="AS233" s="558" t="str">
        <f t="shared" ref="AS233" si="310">IF(AG235&lt;&gt;0,IF(AH235="○","入力済","未入力"),"")</f>
        <v/>
      </c>
      <c r="AT233" s="559" t="str">
        <f>IF(OR(Q233="処遇加算Ⅰ",Q233="処遇加算Ⅱ"),IF(OR(AI233="○",AI233="令和６年度中に満たす"),"入力済","未入力"),"")</f>
        <v/>
      </c>
      <c r="AU233" s="560" t="str">
        <f>IF(Q233="処遇加算Ⅲ",IF(AJ233="○","入力済","未入力"),"")</f>
        <v/>
      </c>
      <c r="AV233" s="558" t="str">
        <f>IF(Q233="処遇加算Ⅰ",IF(OR(AK233="○",AK233="令和６年度中に満たす"),"入力済","未入力"),"")</f>
        <v/>
      </c>
      <c r="AW233" s="558"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43" t="str">
        <f>IF(Q234="特定加算Ⅰ",IF(AM234="","未入力","入力済"),"")</f>
        <v/>
      </c>
      <c r="AY233" s="543" t="str">
        <f>G233</f>
        <v/>
      </c>
    </row>
    <row r="234" spans="1:51" ht="32.1" customHeight="1">
      <c r="A234" s="1226"/>
      <c r="B234" s="1223"/>
      <c r="C234" s="1223"/>
      <c r="D234" s="1223"/>
      <c r="E234" s="1223"/>
      <c r="F234" s="1223"/>
      <c r="G234" s="1235"/>
      <c r="H234" s="1235"/>
      <c r="I234" s="1235"/>
      <c r="J234" s="1235"/>
      <c r="K234" s="1235"/>
      <c r="L234" s="1238"/>
      <c r="M234" s="1293"/>
      <c r="N234" s="561" t="s">
        <v>170</v>
      </c>
      <c r="O234" s="152"/>
      <c r="P234" s="562" t="str">
        <f>IFERROR(VLOOKUP(K233,【参考】数式用!$A$5:$J$27,MATCH(O234,【参考】数式用!$B$4:$J$4,0)+1,0),"")</f>
        <v/>
      </c>
      <c r="Q234" s="152"/>
      <c r="R234" s="562" t="str">
        <f>IFERROR(VLOOKUP(K233,【参考】数式用!$A$5:$J$27,MATCH(Q234,【参考】数式用!$B$4:$J$4,0)+1,0),"")</f>
        <v/>
      </c>
      <c r="S234" s="173" t="s">
        <v>19</v>
      </c>
      <c r="T234" s="563">
        <v>6</v>
      </c>
      <c r="U234" s="174" t="s">
        <v>10</v>
      </c>
      <c r="V234" s="109">
        <v>4</v>
      </c>
      <c r="W234" s="174" t="s">
        <v>45</v>
      </c>
      <c r="X234" s="563">
        <v>6</v>
      </c>
      <c r="Y234" s="174" t="s">
        <v>10</v>
      </c>
      <c r="Z234" s="109">
        <v>5</v>
      </c>
      <c r="AA234" s="174" t="s">
        <v>13</v>
      </c>
      <c r="AB234" s="564" t="s">
        <v>24</v>
      </c>
      <c r="AC234" s="565">
        <f t="shared" si="295"/>
        <v>2</v>
      </c>
      <c r="AD234" s="174" t="s">
        <v>38</v>
      </c>
      <c r="AE234" s="566" t="str">
        <f>IFERROR(ROUNDDOWN(ROUND(L233*R234,0)*M233,0)*AC234,"")</f>
        <v/>
      </c>
      <c r="AF234" s="567" t="str">
        <f>IFERROR(ROUNDDOWN(ROUND(L233*(R234-P234),0)*M233,0)*AC234,"")</f>
        <v/>
      </c>
      <c r="AG234" s="568"/>
      <c r="AH234" s="453"/>
      <c r="AI234" s="454"/>
      <c r="AJ234" s="455"/>
      <c r="AK234" s="456"/>
      <c r="AL234" s="457"/>
      <c r="AM234" s="458"/>
      <c r="AN234" s="569" t="str">
        <f t="shared" ref="AN234" si="311">IF(AP233="","",IF(OR(Z233=4,Z234=4,Z235=4),"！加算の要件上は問題ありませんが、算定期間の終わりが令和６年５月になっていません。区分変更の場合は、「基本情報入力シート」で同じ事業所を２行に分けて記入してください。",""))</f>
        <v/>
      </c>
      <c r="AO234" s="570"/>
      <c r="AP234" s="557" t="str">
        <f>IF(K233&lt;&gt;"","P列・R列に色付け","")</f>
        <v/>
      </c>
      <c r="AY234" s="543" t="str">
        <f>G233</f>
        <v/>
      </c>
    </row>
    <row r="235" spans="1:51" ht="32.1" customHeight="1" thickBot="1">
      <c r="A235" s="1227"/>
      <c r="B235" s="1224"/>
      <c r="C235" s="1224"/>
      <c r="D235" s="1224"/>
      <c r="E235" s="1224"/>
      <c r="F235" s="1224"/>
      <c r="G235" s="1236"/>
      <c r="H235" s="1236"/>
      <c r="I235" s="1236"/>
      <c r="J235" s="1236"/>
      <c r="K235" s="1236"/>
      <c r="L235" s="1239"/>
      <c r="M235" s="1294"/>
      <c r="N235" s="571" t="s">
        <v>140</v>
      </c>
      <c r="O235" s="155"/>
      <c r="P235" s="591" t="str">
        <f>IFERROR(VLOOKUP(K233,【参考】数式用!$A$5:$J$27,MATCH(O235,【参考】数式用!$B$4:$J$4,0)+1,0),"")</f>
        <v/>
      </c>
      <c r="Q235" s="153"/>
      <c r="R235" s="572" t="str">
        <f>IFERROR(VLOOKUP(K233,【参考】数式用!$A$5:$J$27,MATCH(Q235,【参考】数式用!$B$4:$J$4,0)+1,0),"")</f>
        <v/>
      </c>
      <c r="S235" s="573" t="s">
        <v>19</v>
      </c>
      <c r="T235" s="574">
        <v>6</v>
      </c>
      <c r="U235" s="575" t="s">
        <v>10</v>
      </c>
      <c r="V235" s="110">
        <v>4</v>
      </c>
      <c r="W235" s="575" t="s">
        <v>45</v>
      </c>
      <c r="X235" s="574">
        <v>6</v>
      </c>
      <c r="Y235" s="575" t="s">
        <v>10</v>
      </c>
      <c r="Z235" s="110">
        <v>5</v>
      </c>
      <c r="AA235" s="575" t="s">
        <v>13</v>
      </c>
      <c r="AB235" s="576" t="s">
        <v>24</v>
      </c>
      <c r="AC235" s="577">
        <f t="shared" si="295"/>
        <v>2</v>
      </c>
      <c r="AD235" s="575" t="s">
        <v>38</v>
      </c>
      <c r="AE235" s="590" t="str">
        <f>IFERROR(ROUNDDOWN(ROUND(L233*R235,0)*M233,0)*AC235,"")</f>
        <v/>
      </c>
      <c r="AF235" s="579" t="str">
        <f>IFERROR(ROUNDDOWN(ROUND(L233*(R235-P235),0)*M233,0)*AC235,"")</f>
        <v/>
      </c>
      <c r="AG235" s="580">
        <f t="shared" si="246"/>
        <v>0</v>
      </c>
      <c r="AH235" s="459"/>
      <c r="AI235" s="460"/>
      <c r="AJ235" s="461"/>
      <c r="AK235" s="462"/>
      <c r="AL235" s="463"/>
      <c r="AM235" s="464"/>
      <c r="AN235" s="581" t="str">
        <f t="shared" ref="AN235" si="312">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82" t="str">
        <f>IF(K233&lt;&gt;"","P列・R列に色付け","")</f>
        <v/>
      </c>
      <c r="AQ235" s="583"/>
      <c r="AR235" s="583"/>
      <c r="AX235" s="584"/>
      <c r="AY235" s="543" t="str">
        <f>G233</f>
        <v/>
      </c>
    </row>
    <row r="236" spans="1:51" ht="32.1" customHeight="1">
      <c r="A236" s="1225">
        <v>75</v>
      </c>
      <c r="B236" s="1222" t="str">
        <f>IF(基本情報入力シート!C128="","",基本情報入力シート!C128)</f>
        <v/>
      </c>
      <c r="C236" s="1222"/>
      <c r="D236" s="1222"/>
      <c r="E236" s="1222"/>
      <c r="F236" s="1222"/>
      <c r="G236" s="1234" t="str">
        <f>IF(基本情報入力シート!M128="","",基本情報入力シート!M128)</f>
        <v/>
      </c>
      <c r="H236" s="1234" t="str">
        <f>IF(基本情報入力シート!R128="","",基本情報入力シート!R128)</f>
        <v/>
      </c>
      <c r="I236" s="1234" t="str">
        <f>IF(基本情報入力シート!W128="","",基本情報入力シート!W128)</f>
        <v/>
      </c>
      <c r="J236" s="1234" t="str">
        <f>IF(基本情報入力シート!X128="","",基本情報入力シート!X128)</f>
        <v/>
      </c>
      <c r="K236" s="1234" t="str">
        <f>IF(基本情報入力シート!Y128="","",基本情報入力シート!Y128)</f>
        <v/>
      </c>
      <c r="L236" s="1237" t="str">
        <f>IF(基本情報入力シート!AB128="","",基本情報入力シート!AB128)</f>
        <v/>
      </c>
      <c r="M236" s="1292" t="str">
        <f>IF(基本情報入力シート!AC128="","",基本情報入力シート!AC128)</f>
        <v/>
      </c>
      <c r="N236" s="547" t="s">
        <v>183</v>
      </c>
      <c r="O236" s="151"/>
      <c r="P236" s="548" t="str">
        <f>IFERROR(VLOOKUP(K236,【参考】数式用!$A$5:$J$27,MATCH(O236,【参考】数式用!$B$4:$J$4,0)+1,0),"")</f>
        <v/>
      </c>
      <c r="Q236" s="151"/>
      <c r="R236" s="548" t="str">
        <f>IFERROR(VLOOKUP(K236,【参考】数式用!$A$5:$J$27,MATCH(Q236,【参考】数式用!$B$4:$J$4,0)+1,0),"")</f>
        <v/>
      </c>
      <c r="S236" s="549" t="s">
        <v>19</v>
      </c>
      <c r="T236" s="550">
        <v>6</v>
      </c>
      <c r="U236" s="202" t="s">
        <v>10</v>
      </c>
      <c r="V236" s="71">
        <v>4</v>
      </c>
      <c r="W236" s="202" t="s">
        <v>45</v>
      </c>
      <c r="X236" s="550">
        <v>6</v>
      </c>
      <c r="Y236" s="202" t="s">
        <v>10</v>
      </c>
      <c r="Z236" s="71">
        <v>5</v>
      </c>
      <c r="AA236" s="202" t="s">
        <v>13</v>
      </c>
      <c r="AB236" s="551" t="s">
        <v>24</v>
      </c>
      <c r="AC236" s="552">
        <f t="shared" si="295"/>
        <v>2</v>
      </c>
      <c r="AD236" s="202" t="s">
        <v>38</v>
      </c>
      <c r="AE236" s="553" t="str">
        <f>IFERROR(ROUNDDOWN(ROUND(L236*R236,0)*M236,0)*AC236,"")</f>
        <v/>
      </c>
      <c r="AF236" s="554" t="str">
        <f>IFERROR(ROUNDDOWN(ROUND(L236*(R236-P236),0)*M236,0)*AC236,"")</f>
        <v/>
      </c>
      <c r="AG236" s="555"/>
      <c r="AH236" s="465"/>
      <c r="AI236" s="473"/>
      <c r="AJ236" s="470"/>
      <c r="AK236" s="471"/>
      <c r="AL236" s="451"/>
      <c r="AM236" s="452"/>
      <c r="AN236" s="556" t="str">
        <f t="shared" ref="AN236" si="313">IF(AP236="","",IF(R236&lt;P236,"！加算の要件上は問題ありませんが、令和６年３月と比較して４・５月に加算率が下がる計画になっています。",""))</f>
        <v/>
      </c>
      <c r="AP236" s="557" t="str">
        <f>IF(K236&lt;&gt;"","P列・R列に色付け","")</f>
        <v/>
      </c>
      <c r="AQ236" s="558" t="str">
        <f>IFERROR(VLOOKUP(K236,【参考】数式用!$AJ$2:$AK$24,2,FALSE),"")</f>
        <v/>
      </c>
      <c r="AR236" s="560" t="str">
        <f>Q236&amp;Q237&amp;Q238</f>
        <v/>
      </c>
      <c r="AS236" s="558" t="str">
        <f t="shared" ref="AS236" si="314">IF(AG238&lt;&gt;0,IF(AH238="○","入力済","未入力"),"")</f>
        <v/>
      </c>
      <c r="AT236" s="559" t="str">
        <f>IF(OR(Q236="処遇加算Ⅰ",Q236="処遇加算Ⅱ"),IF(OR(AI236="○",AI236="令和６年度中に満たす"),"入力済","未入力"),"")</f>
        <v/>
      </c>
      <c r="AU236" s="560" t="str">
        <f>IF(Q236="処遇加算Ⅲ",IF(AJ236="○","入力済","未入力"),"")</f>
        <v/>
      </c>
      <c r="AV236" s="558" t="str">
        <f>IF(Q236="処遇加算Ⅰ",IF(OR(AK236="○",AK236="令和６年度中に満たす"),"入力済","未入力"),"")</f>
        <v/>
      </c>
      <c r="AW236" s="558"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43" t="str">
        <f>IF(Q237="特定加算Ⅰ",IF(AM237="","未入力","入力済"),"")</f>
        <v/>
      </c>
      <c r="AY236" s="543" t="str">
        <f>G236</f>
        <v/>
      </c>
    </row>
    <row r="237" spans="1:51" ht="32.1" customHeight="1">
      <c r="A237" s="1226"/>
      <c r="B237" s="1223"/>
      <c r="C237" s="1223"/>
      <c r="D237" s="1223"/>
      <c r="E237" s="1223"/>
      <c r="F237" s="1223"/>
      <c r="G237" s="1235"/>
      <c r="H237" s="1235"/>
      <c r="I237" s="1235"/>
      <c r="J237" s="1235"/>
      <c r="K237" s="1235"/>
      <c r="L237" s="1238"/>
      <c r="M237" s="1293"/>
      <c r="N237" s="561" t="s">
        <v>170</v>
      </c>
      <c r="O237" s="152"/>
      <c r="P237" s="562" t="str">
        <f>IFERROR(VLOOKUP(K236,【参考】数式用!$A$5:$J$27,MATCH(O237,【参考】数式用!$B$4:$J$4,0)+1,0),"")</f>
        <v/>
      </c>
      <c r="Q237" s="152"/>
      <c r="R237" s="562" t="str">
        <f>IFERROR(VLOOKUP(K236,【参考】数式用!$A$5:$J$27,MATCH(Q237,【参考】数式用!$B$4:$J$4,0)+1,0),"")</f>
        <v/>
      </c>
      <c r="S237" s="173" t="s">
        <v>19</v>
      </c>
      <c r="T237" s="563">
        <v>6</v>
      </c>
      <c r="U237" s="174" t="s">
        <v>10</v>
      </c>
      <c r="V237" s="109">
        <v>4</v>
      </c>
      <c r="W237" s="174" t="s">
        <v>45</v>
      </c>
      <c r="X237" s="563">
        <v>6</v>
      </c>
      <c r="Y237" s="174" t="s">
        <v>10</v>
      </c>
      <c r="Z237" s="109">
        <v>5</v>
      </c>
      <c r="AA237" s="174" t="s">
        <v>13</v>
      </c>
      <c r="AB237" s="564" t="s">
        <v>24</v>
      </c>
      <c r="AC237" s="565">
        <f t="shared" si="295"/>
        <v>2</v>
      </c>
      <c r="AD237" s="174" t="s">
        <v>38</v>
      </c>
      <c r="AE237" s="566" t="str">
        <f>IFERROR(ROUNDDOWN(ROUND(L236*R237,0)*M236,0)*AC237,"")</f>
        <v/>
      </c>
      <c r="AF237" s="567" t="str">
        <f>IFERROR(ROUNDDOWN(ROUND(L236*(R237-P237),0)*M236,0)*AC237,"")</f>
        <v/>
      </c>
      <c r="AG237" s="568"/>
      <c r="AH237" s="453"/>
      <c r="AI237" s="454"/>
      <c r="AJ237" s="455"/>
      <c r="AK237" s="456"/>
      <c r="AL237" s="457"/>
      <c r="AM237" s="458"/>
      <c r="AN237" s="569" t="str">
        <f t="shared" ref="AN237" si="315">IF(AP236="","",IF(OR(Z236=4,Z237=4,Z238=4),"！加算の要件上は問題ありませんが、算定期間の終わりが令和６年５月になっていません。区分変更の場合は、「基本情報入力シート」で同じ事業所を２行に分けて記入してください。",""))</f>
        <v/>
      </c>
      <c r="AO237" s="570"/>
      <c r="AP237" s="557" t="str">
        <f>IF(K236&lt;&gt;"","P列・R列に色付け","")</f>
        <v/>
      </c>
      <c r="AY237" s="543" t="str">
        <f>G236</f>
        <v/>
      </c>
    </row>
    <row r="238" spans="1:51" ht="32.1" customHeight="1" thickBot="1">
      <c r="A238" s="1227"/>
      <c r="B238" s="1224"/>
      <c r="C238" s="1224"/>
      <c r="D238" s="1224"/>
      <c r="E238" s="1224"/>
      <c r="F238" s="1224"/>
      <c r="G238" s="1236"/>
      <c r="H238" s="1236"/>
      <c r="I238" s="1236"/>
      <c r="J238" s="1236"/>
      <c r="K238" s="1236"/>
      <c r="L238" s="1239"/>
      <c r="M238" s="1294"/>
      <c r="N238" s="571" t="s">
        <v>140</v>
      </c>
      <c r="O238" s="155"/>
      <c r="P238" s="591" t="str">
        <f>IFERROR(VLOOKUP(K236,【参考】数式用!$A$5:$J$27,MATCH(O238,【参考】数式用!$B$4:$J$4,0)+1,0),"")</f>
        <v/>
      </c>
      <c r="Q238" s="153"/>
      <c r="R238" s="572" t="str">
        <f>IFERROR(VLOOKUP(K236,【参考】数式用!$A$5:$J$27,MATCH(Q238,【参考】数式用!$B$4:$J$4,0)+1,0),"")</f>
        <v/>
      </c>
      <c r="S238" s="573" t="s">
        <v>19</v>
      </c>
      <c r="T238" s="574">
        <v>6</v>
      </c>
      <c r="U238" s="575" t="s">
        <v>10</v>
      </c>
      <c r="V238" s="110">
        <v>4</v>
      </c>
      <c r="W238" s="575" t="s">
        <v>45</v>
      </c>
      <c r="X238" s="574">
        <v>6</v>
      </c>
      <c r="Y238" s="575" t="s">
        <v>10</v>
      </c>
      <c r="Z238" s="110">
        <v>5</v>
      </c>
      <c r="AA238" s="575" t="s">
        <v>13</v>
      </c>
      <c r="AB238" s="576" t="s">
        <v>24</v>
      </c>
      <c r="AC238" s="577">
        <f t="shared" si="295"/>
        <v>2</v>
      </c>
      <c r="AD238" s="575" t="s">
        <v>38</v>
      </c>
      <c r="AE238" s="590" t="str">
        <f>IFERROR(ROUNDDOWN(ROUND(L236*R238,0)*M236,0)*AC238,"")</f>
        <v/>
      </c>
      <c r="AF238" s="579" t="str">
        <f>IFERROR(ROUNDDOWN(ROUND(L236*(R238-P238),0)*M236,0)*AC238,"")</f>
        <v/>
      </c>
      <c r="AG238" s="580">
        <f t="shared" si="246"/>
        <v>0</v>
      </c>
      <c r="AH238" s="459"/>
      <c r="AI238" s="460"/>
      <c r="AJ238" s="461"/>
      <c r="AK238" s="462"/>
      <c r="AL238" s="463"/>
      <c r="AM238" s="464"/>
      <c r="AN238" s="581" t="str">
        <f t="shared" ref="AN238" si="316">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82" t="str">
        <f>IF(K236&lt;&gt;"","P列・R列に色付け","")</f>
        <v/>
      </c>
      <c r="AQ238" s="583"/>
      <c r="AR238" s="583"/>
      <c r="AX238" s="584"/>
      <c r="AY238" s="543" t="str">
        <f>G236</f>
        <v/>
      </c>
    </row>
    <row r="239" spans="1:51" ht="32.1" customHeight="1">
      <c r="A239" s="1225">
        <v>76</v>
      </c>
      <c r="B239" s="1222" t="str">
        <f>IF(基本情報入力シート!C129="","",基本情報入力シート!C129)</f>
        <v/>
      </c>
      <c r="C239" s="1222"/>
      <c r="D239" s="1222"/>
      <c r="E239" s="1222"/>
      <c r="F239" s="1222"/>
      <c r="G239" s="1234" t="str">
        <f>IF(基本情報入力シート!M129="","",基本情報入力シート!M129)</f>
        <v/>
      </c>
      <c r="H239" s="1234" t="str">
        <f>IF(基本情報入力シート!R129="","",基本情報入力シート!R129)</f>
        <v/>
      </c>
      <c r="I239" s="1234" t="str">
        <f>IF(基本情報入力シート!W129="","",基本情報入力シート!W129)</f>
        <v/>
      </c>
      <c r="J239" s="1234" t="str">
        <f>IF(基本情報入力シート!X129="","",基本情報入力シート!X129)</f>
        <v/>
      </c>
      <c r="K239" s="1234" t="str">
        <f>IF(基本情報入力シート!Y129="","",基本情報入力シート!Y129)</f>
        <v/>
      </c>
      <c r="L239" s="1237" t="str">
        <f>IF(基本情報入力シート!AB129="","",基本情報入力シート!AB129)</f>
        <v/>
      </c>
      <c r="M239" s="1292" t="str">
        <f>IF(基本情報入力シート!AC129="","",基本情報入力シート!AC129)</f>
        <v/>
      </c>
      <c r="N239" s="547" t="s">
        <v>183</v>
      </c>
      <c r="O239" s="151"/>
      <c r="P239" s="548" t="str">
        <f>IFERROR(VLOOKUP(K239,【参考】数式用!$A$5:$J$27,MATCH(O239,【参考】数式用!$B$4:$J$4,0)+1,0),"")</f>
        <v/>
      </c>
      <c r="Q239" s="151"/>
      <c r="R239" s="548" t="str">
        <f>IFERROR(VLOOKUP(K239,【参考】数式用!$A$5:$J$27,MATCH(Q239,【参考】数式用!$B$4:$J$4,0)+1,0),"")</f>
        <v/>
      </c>
      <c r="S239" s="549" t="s">
        <v>19</v>
      </c>
      <c r="T239" s="550">
        <v>6</v>
      </c>
      <c r="U239" s="202" t="s">
        <v>10</v>
      </c>
      <c r="V239" s="71">
        <v>4</v>
      </c>
      <c r="W239" s="202" t="s">
        <v>45</v>
      </c>
      <c r="X239" s="550">
        <v>6</v>
      </c>
      <c r="Y239" s="202" t="s">
        <v>10</v>
      </c>
      <c r="Z239" s="71">
        <v>5</v>
      </c>
      <c r="AA239" s="202" t="s">
        <v>13</v>
      </c>
      <c r="AB239" s="551" t="s">
        <v>24</v>
      </c>
      <c r="AC239" s="552">
        <f t="shared" si="295"/>
        <v>2</v>
      </c>
      <c r="AD239" s="202" t="s">
        <v>38</v>
      </c>
      <c r="AE239" s="553" t="str">
        <f>IFERROR(ROUNDDOWN(ROUND(L239*R239,0)*M239,0)*AC239,"")</f>
        <v/>
      </c>
      <c r="AF239" s="554" t="str">
        <f>IFERROR(ROUNDDOWN(ROUND(L239*(R239-P239),0)*M239,0)*AC239,"")</f>
        <v/>
      </c>
      <c r="AG239" s="555"/>
      <c r="AH239" s="465"/>
      <c r="AI239" s="473"/>
      <c r="AJ239" s="470"/>
      <c r="AK239" s="471"/>
      <c r="AL239" s="451"/>
      <c r="AM239" s="452"/>
      <c r="AN239" s="556" t="str">
        <f t="shared" ref="AN239" si="317">IF(AP239="","",IF(R239&lt;P239,"！加算の要件上は問題ありませんが、令和６年３月と比較して４・５月に加算率が下がる計画になっています。",""))</f>
        <v/>
      </c>
      <c r="AP239" s="557" t="str">
        <f>IF(K239&lt;&gt;"","P列・R列に色付け","")</f>
        <v/>
      </c>
      <c r="AQ239" s="558" t="str">
        <f>IFERROR(VLOOKUP(K239,【参考】数式用!$AJ$2:$AK$24,2,FALSE),"")</f>
        <v/>
      </c>
      <c r="AR239" s="560" t="str">
        <f>Q239&amp;Q240&amp;Q241</f>
        <v/>
      </c>
      <c r="AS239" s="558" t="str">
        <f t="shared" ref="AS239" si="318">IF(AG241&lt;&gt;0,IF(AH241="○","入力済","未入力"),"")</f>
        <v/>
      </c>
      <c r="AT239" s="559" t="str">
        <f>IF(OR(Q239="処遇加算Ⅰ",Q239="処遇加算Ⅱ"),IF(OR(AI239="○",AI239="令和６年度中に満たす"),"入力済","未入力"),"")</f>
        <v/>
      </c>
      <c r="AU239" s="560" t="str">
        <f>IF(Q239="処遇加算Ⅲ",IF(AJ239="○","入力済","未入力"),"")</f>
        <v/>
      </c>
      <c r="AV239" s="558" t="str">
        <f>IF(Q239="処遇加算Ⅰ",IF(OR(AK239="○",AK239="令和６年度中に満たす"),"入力済","未入力"),"")</f>
        <v/>
      </c>
      <c r="AW239" s="558"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43" t="str">
        <f>IF(Q240="特定加算Ⅰ",IF(AM240="","未入力","入力済"),"")</f>
        <v/>
      </c>
      <c r="AY239" s="543" t="str">
        <f>G239</f>
        <v/>
      </c>
    </row>
    <row r="240" spans="1:51" ht="32.1" customHeight="1">
      <c r="A240" s="1226"/>
      <c r="B240" s="1223"/>
      <c r="C240" s="1223"/>
      <c r="D240" s="1223"/>
      <c r="E240" s="1223"/>
      <c r="F240" s="1223"/>
      <c r="G240" s="1235"/>
      <c r="H240" s="1235"/>
      <c r="I240" s="1235"/>
      <c r="J240" s="1235"/>
      <c r="K240" s="1235"/>
      <c r="L240" s="1238"/>
      <c r="M240" s="1293"/>
      <c r="N240" s="561" t="s">
        <v>170</v>
      </c>
      <c r="O240" s="152"/>
      <c r="P240" s="562" t="str">
        <f>IFERROR(VLOOKUP(K239,【参考】数式用!$A$5:$J$27,MATCH(O240,【参考】数式用!$B$4:$J$4,0)+1,0),"")</f>
        <v/>
      </c>
      <c r="Q240" s="152"/>
      <c r="R240" s="562" t="str">
        <f>IFERROR(VLOOKUP(K239,【参考】数式用!$A$5:$J$27,MATCH(Q240,【参考】数式用!$B$4:$J$4,0)+1,0),"")</f>
        <v/>
      </c>
      <c r="S240" s="173" t="s">
        <v>19</v>
      </c>
      <c r="T240" s="563">
        <v>6</v>
      </c>
      <c r="U240" s="174" t="s">
        <v>10</v>
      </c>
      <c r="V240" s="109">
        <v>4</v>
      </c>
      <c r="W240" s="174" t="s">
        <v>45</v>
      </c>
      <c r="X240" s="563">
        <v>6</v>
      </c>
      <c r="Y240" s="174" t="s">
        <v>10</v>
      </c>
      <c r="Z240" s="109">
        <v>5</v>
      </c>
      <c r="AA240" s="174" t="s">
        <v>13</v>
      </c>
      <c r="AB240" s="564" t="s">
        <v>24</v>
      </c>
      <c r="AC240" s="565">
        <f t="shared" si="295"/>
        <v>2</v>
      </c>
      <c r="AD240" s="174" t="s">
        <v>38</v>
      </c>
      <c r="AE240" s="566" t="str">
        <f>IFERROR(ROUNDDOWN(ROUND(L239*R240,0)*M239,0)*AC240,"")</f>
        <v/>
      </c>
      <c r="AF240" s="567" t="str">
        <f>IFERROR(ROUNDDOWN(ROUND(L239*(R240-P240),0)*M239,0)*AC240,"")</f>
        <v/>
      </c>
      <c r="AG240" s="568"/>
      <c r="AH240" s="453"/>
      <c r="AI240" s="454"/>
      <c r="AJ240" s="455"/>
      <c r="AK240" s="456"/>
      <c r="AL240" s="457"/>
      <c r="AM240" s="458"/>
      <c r="AN240" s="569" t="str">
        <f t="shared" ref="AN240" si="319">IF(AP239="","",IF(OR(Z239=4,Z240=4,Z241=4),"！加算の要件上は問題ありませんが、算定期間の終わりが令和６年５月になっていません。区分変更の場合は、「基本情報入力シート」で同じ事業所を２行に分けて記入してください。",""))</f>
        <v/>
      </c>
      <c r="AO240" s="570"/>
      <c r="AP240" s="557" t="str">
        <f>IF(K239&lt;&gt;"","P列・R列に色付け","")</f>
        <v/>
      </c>
      <c r="AY240" s="543" t="str">
        <f>G239</f>
        <v/>
      </c>
    </row>
    <row r="241" spans="1:51" ht="32.1" customHeight="1" thickBot="1">
      <c r="A241" s="1227"/>
      <c r="B241" s="1224"/>
      <c r="C241" s="1224"/>
      <c r="D241" s="1224"/>
      <c r="E241" s="1224"/>
      <c r="F241" s="1224"/>
      <c r="G241" s="1236"/>
      <c r="H241" s="1236"/>
      <c r="I241" s="1236"/>
      <c r="J241" s="1236"/>
      <c r="K241" s="1236"/>
      <c r="L241" s="1239"/>
      <c r="M241" s="1294"/>
      <c r="N241" s="571" t="s">
        <v>140</v>
      </c>
      <c r="O241" s="155"/>
      <c r="P241" s="591" t="str">
        <f>IFERROR(VLOOKUP(K239,【参考】数式用!$A$5:$J$27,MATCH(O241,【参考】数式用!$B$4:$J$4,0)+1,0),"")</f>
        <v/>
      </c>
      <c r="Q241" s="153"/>
      <c r="R241" s="572" t="str">
        <f>IFERROR(VLOOKUP(K239,【参考】数式用!$A$5:$J$27,MATCH(Q241,【参考】数式用!$B$4:$J$4,0)+1,0),"")</f>
        <v/>
      </c>
      <c r="S241" s="573" t="s">
        <v>19</v>
      </c>
      <c r="T241" s="574">
        <v>6</v>
      </c>
      <c r="U241" s="575" t="s">
        <v>10</v>
      </c>
      <c r="V241" s="110">
        <v>4</v>
      </c>
      <c r="W241" s="575" t="s">
        <v>45</v>
      </c>
      <c r="X241" s="574">
        <v>6</v>
      </c>
      <c r="Y241" s="575" t="s">
        <v>10</v>
      </c>
      <c r="Z241" s="110">
        <v>5</v>
      </c>
      <c r="AA241" s="575" t="s">
        <v>13</v>
      </c>
      <c r="AB241" s="576" t="s">
        <v>24</v>
      </c>
      <c r="AC241" s="577">
        <f t="shared" si="295"/>
        <v>2</v>
      </c>
      <c r="AD241" s="575" t="s">
        <v>38</v>
      </c>
      <c r="AE241" s="590" t="str">
        <f>IFERROR(ROUNDDOWN(ROUND(L239*R241,0)*M239,0)*AC241,"")</f>
        <v/>
      </c>
      <c r="AF241" s="579" t="str">
        <f>IFERROR(ROUNDDOWN(ROUND(L239*(R241-P241),0)*M239,0)*AC241,"")</f>
        <v/>
      </c>
      <c r="AG241" s="580">
        <f t="shared" si="246"/>
        <v>0</v>
      </c>
      <c r="AH241" s="459"/>
      <c r="AI241" s="460"/>
      <c r="AJ241" s="461"/>
      <c r="AK241" s="462"/>
      <c r="AL241" s="463"/>
      <c r="AM241" s="464"/>
      <c r="AN241" s="581" t="str">
        <f t="shared" ref="AN241" si="320">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82" t="str">
        <f>IF(K239&lt;&gt;"","P列・R列に色付け","")</f>
        <v/>
      </c>
      <c r="AQ241" s="583"/>
      <c r="AR241" s="583"/>
      <c r="AX241" s="584"/>
      <c r="AY241" s="543" t="str">
        <f>G239</f>
        <v/>
      </c>
    </row>
    <row r="242" spans="1:51" ht="32.1" customHeight="1">
      <c r="A242" s="1225">
        <v>77</v>
      </c>
      <c r="B242" s="1222" t="str">
        <f>IF(基本情報入力シート!C130="","",基本情報入力シート!C130)</f>
        <v/>
      </c>
      <c r="C242" s="1222"/>
      <c r="D242" s="1222"/>
      <c r="E242" s="1222"/>
      <c r="F242" s="1222"/>
      <c r="G242" s="1234" t="str">
        <f>IF(基本情報入力シート!M130="","",基本情報入力シート!M130)</f>
        <v/>
      </c>
      <c r="H242" s="1234" t="str">
        <f>IF(基本情報入力シート!R130="","",基本情報入力シート!R130)</f>
        <v/>
      </c>
      <c r="I242" s="1234" t="str">
        <f>IF(基本情報入力シート!W130="","",基本情報入力シート!W130)</f>
        <v/>
      </c>
      <c r="J242" s="1234" t="str">
        <f>IF(基本情報入力シート!X130="","",基本情報入力シート!X130)</f>
        <v/>
      </c>
      <c r="K242" s="1234" t="str">
        <f>IF(基本情報入力シート!Y130="","",基本情報入力シート!Y130)</f>
        <v/>
      </c>
      <c r="L242" s="1237" t="str">
        <f>IF(基本情報入力シート!AB130="","",基本情報入力シート!AB130)</f>
        <v/>
      </c>
      <c r="M242" s="1292" t="str">
        <f>IF(基本情報入力シート!AC130="","",基本情報入力シート!AC130)</f>
        <v/>
      </c>
      <c r="N242" s="547" t="s">
        <v>183</v>
      </c>
      <c r="O242" s="151"/>
      <c r="P242" s="548" t="str">
        <f>IFERROR(VLOOKUP(K242,【参考】数式用!$A$5:$J$27,MATCH(O242,【参考】数式用!$B$4:$J$4,0)+1,0),"")</f>
        <v/>
      </c>
      <c r="Q242" s="151"/>
      <c r="R242" s="548" t="str">
        <f>IFERROR(VLOOKUP(K242,【参考】数式用!$A$5:$J$27,MATCH(Q242,【参考】数式用!$B$4:$J$4,0)+1,0),"")</f>
        <v/>
      </c>
      <c r="S242" s="549" t="s">
        <v>19</v>
      </c>
      <c r="T242" s="550">
        <v>6</v>
      </c>
      <c r="U242" s="202" t="s">
        <v>10</v>
      </c>
      <c r="V242" s="71">
        <v>4</v>
      </c>
      <c r="W242" s="202" t="s">
        <v>45</v>
      </c>
      <c r="X242" s="550">
        <v>6</v>
      </c>
      <c r="Y242" s="202" t="s">
        <v>10</v>
      </c>
      <c r="Z242" s="71">
        <v>5</v>
      </c>
      <c r="AA242" s="202" t="s">
        <v>13</v>
      </c>
      <c r="AB242" s="551" t="s">
        <v>24</v>
      </c>
      <c r="AC242" s="552">
        <f t="shared" si="295"/>
        <v>2</v>
      </c>
      <c r="AD242" s="202" t="s">
        <v>38</v>
      </c>
      <c r="AE242" s="553" t="str">
        <f>IFERROR(ROUNDDOWN(ROUND(L242*R242,0)*M242,0)*AC242,"")</f>
        <v/>
      </c>
      <c r="AF242" s="554" t="str">
        <f>IFERROR(ROUNDDOWN(ROUND(L242*(R242-P242),0)*M242,0)*AC242,"")</f>
        <v/>
      </c>
      <c r="AG242" s="555"/>
      <c r="AH242" s="465"/>
      <c r="AI242" s="473"/>
      <c r="AJ242" s="470"/>
      <c r="AK242" s="471"/>
      <c r="AL242" s="451"/>
      <c r="AM242" s="452"/>
      <c r="AN242" s="556" t="str">
        <f t="shared" ref="AN242" si="321">IF(AP242="","",IF(R242&lt;P242,"！加算の要件上は問題ありませんが、令和６年３月と比較して４・５月に加算率が下がる計画になっています。",""))</f>
        <v/>
      </c>
      <c r="AP242" s="557" t="str">
        <f>IF(K242&lt;&gt;"","P列・R列に色付け","")</f>
        <v/>
      </c>
      <c r="AQ242" s="558" t="str">
        <f>IFERROR(VLOOKUP(K242,【参考】数式用!$AJ$2:$AK$24,2,FALSE),"")</f>
        <v/>
      </c>
      <c r="AR242" s="560" t="str">
        <f>Q242&amp;Q243&amp;Q244</f>
        <v/>
      </c>
      <c r="AS242" s="558" t="str">
        <f t="shared" ref="AS242" si="322">IF(AG244&lt;&gt;0,IF(AH244="○","入力済","未入力"),"")</f>
        <v/>
      </c>
      <c r="AT242" s="559" t="str">
        <f>IF(OR(Q242="処遇加算Ⅰ",Q242="処遇加算Ⅱ"),IF(OR(AI242="○",AI242="令和６年度中に満たす"),"入力済","未入力"),"")</f>
        <v/>
      </c>
      <c r="AU242" s="560" t="str">
        <f>IF(Q242="処遇加算Ⅲ",IF(AJ242="○","入力済","未入力"),"")</f>
        <v/>
      </c>
      <c r="AV242" s="558" t="str">
        <f>IF(Q242="処遇加算Ⅰ",IF(OR(AK242="○",AK242="令和６年度中に満たす"),"入力済","未入力"),"")</f>
        <v/>
      </c>
      <c r="AW242" s="558"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43" t="str">
        <f>IF(Q243="特定加算Ⅰ",IF(AM243="","未入力","入力済"),"")</f>
        <v/>
      </c>
      <c r="AY242" s="543" t="str">
        <f>G242</f>
        <v/>
      </c>
    </row>
    <row r="243" spans="1:51" ht="32.1" customHeight="1">
      <c r="A243" s="1226"/>
      <c r="B243" s="1223"/>
      <c r="C243" s="1223"/>
      <c r="D243" s="1223"/>
      <c r="E243" s="1223"/>
      <c r="F243" s="1223"/>
      <c r="G243" s="1235"/>
      <c r="H243" s="1235"/>
      <c r="I243" s="1235"/>
      <c r="J243" s="1235"/>
      <c r="K243" s="1235"/>
      <c r="L243" s="1238"/>
      <c r="M243" s="1293"/>
      <c r="N243" s="561" t="s">
        <v>170</v>
      </c>
      <c r="O243" s="152"/>
      <c r="P243" s="562" t="str">
        <f>IFERROR(VLOOKUP(K242,【参考】数式用!$A$5:$J$27,MATCH(O243,【参考】数式用!$B$4:$J$4,0)+1,0),"")</f>
        <v/>
      </c>
      <c r="Q243" s="152"/>
      <c r="R243" s="562" t="str">
        <f>IFERROR(VLOOKUP(K242,【参考】数式用!$A$5:$J$27,MATCH(Q243,【参考】数式用!$B$4:$J$4,0)+1,0),"")</f>
        <v/>
      </c>
      <c r="S243" s="173" t="s">
        <v>19</v>
      </c>
      <c r="T243" s="563">
        <v>6</v>
      </c>
      <c r="U243" s="174" t="s">
        <v>10</v>
      </c>
      <c r="V243" s="109">
        <v>4</v>
      </c>
      <c r="W243" s="174" t="s">
        <v>45</v>
      </c>
      <c r="X243" s="563">
        <v>6</v>
      </c>
      <c r="Y243" s="174" t="s">
        <v>10</v>
      </c>
      <c r="Z243" s="109">
        <v>5</v>
      </c>
      <c r="AA243" s="174" t="s">
        <v>13</v>
      </c>
      <c r="AB243" s="564" t="s">
        <v>24</v>
      </c>
      <c r="AC243" s="565">
        <f t="shared" si="295"/>
        <v>2</v>
      </c>
      <c r="AD243" s="174" t="s">
        <v>38</v>
      </c>
      <c r="AE243" s="566" t="str">
        <f>IFERROR(ROUNDDOWN(ROUND(L242*R243,0)*M242,0)*AC243,"")</f>
        <v/>
      </c>
      <c r="AF243" s="567" t="str">
        <f>IFERROR(ROUNDDOWN(ROUND(L242*(R243-P243),0)*M242,0)*AC243,"")</f>
        <v/>
      </c>
      <c r="AG243" s="568"/>
      <c r="AH243" s="453"/>
      <c r="AI243" s="454"/>
      <c r="AJ243" s="455"/>
      <c r="AK243" s="456"/>
      <c r="AL243" s="457"/>
      <c r="AM243" s="458"/>
      <c r="AN243" s="569" t="str">
        <f t="shared" ref="AN243" si="323">IF(AP242="","",IF(OR(Z242=4,Z243=4,Z244=4),"！加算の要件上は問題ありませんが、算定期間の終わりが令和６年５月になっていません。区分変更の場合は、「基本情報入力シート」で同じ事業所を２行に分けて記入してください。",""))</f>
        <v/>
      </c>
      <c r="AO243" s="570"/>
      <c r="AP243" s="557" t="str">
        <f>IF(K242&lt;&gt;"","P列・R列に色付け","")</f>
        <v/>
      </c>
      <c r="AY243" s="543" t="str">
        <f>G242</f>
        <v/>
      </c>
    </row>
    <row r="244" spans="1:51" ht="32.1" customHeight="1" thickBot="1">
      <c r="A244" s="1227"/>
      <c r="B244" s="1224"/>
      <c r="C244" s="1224"/>
      <c r="D244" s="1224"/>
      <c r="E244" s="1224"/>
      <c r="F244" s="1224"/>
      <c r="G244" s="1236"/>
      <c r="H244" s="1236"/>
      <c r="I244" s="1236"/>
      <c r="J244" s="1236"/>
      <c r="K244" s="1236"/>
      <c r="L244" s="1239"/>
      <c r="M244" s="1294"/>
      <c r="N244" s="571" t="s">
        <v>140</v>
      </c>
      <c r="O244" s="155"/>
      <c r="P244" s="591" t="str">
        <f>IFERROR(VLOOKUP(K242,【参考】数式用!$A$5:$J$27,MATCH(O244,【参考】数式用!$B$4:$J$4,0)+1,0),"")</f>
        <v/>
      </c>
      <c r="Q244" s="153"/>
      <c r="R244" s="572" t="str">
        <f>IFERROR(VLOOKUP(K242,【参考】数式用!$A$5:$J$27,MATCH(Q244,【参考】数式用!$B$4:$J$4,0)+1,0),"")</f>
        <v/>
      </c>
      <c r="S244" s="573" t="s">
        <v>19</v>
      </c>
      <c r="T244" s="574">
        <v>6</v>
      </c>
      <c r="U244" s="575" t="s">
        <v>10</v>
      </c>
      <c r="V244" s="110">
        <v>4</v>
      </c>
      <c r="W244" s="575" t="s">
        <v>45</v>
      </c>
      <c r="X244" s="574">
        <v>6</v>
      </c>
      <c r="Y244" s="575" t="s">
        <v>10</v>
      </c>
      <c r="Z244" s="110">
        <v>5</v>
      </c>
      <c r="AA244" s="575" t="s">
        <v>13</v>
      </c>
      <c r="AB244" s="576" t="s">
        <v>24</v>
      </c>
      <c r="AC244" s="577">
        <f t="shared" si="295"/>
        <v>2</v>
      </c>
      <c r="AD244" s="575" t="s">
        <v>38</v>
      </c>
      <c r="AE244" s="590" t="str">
        <f>IFERROR(ROUNDDOWN(ROUND(L242*R244,0)*M242,0)*AC244,"")</f>
        <v/>
      </c>
      <c r="AF244" s="579" t="str">
        <f>IFERROR(ROUNDDOWN(ROUND(L242*(R244-P244),0)*M242,0)*AC244,"")</f>
        <v/>
      </c>
      <c r="AG244" s="580">
        <f t="shared" si="246"/>
        <v>0</v>
      </c>
      <c r="AH244" s="459"/>
      <c r="AI244" s="460"/>
      <c r="AJ244" s="461"/>
      <c r="AK244" s="462"/>
      <c r="AL244" s="463"/>
      <c r="AM244" s="464"/>
      <c r="AN244" s="581" t="str">
        <f t="shared" ref="AN244" si="324">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82" t="str">
        <f>IF(K242&lt;&gt;"","P列・R列に色付け","")</f>
        <v/>
      </c>
      <c r="AQ244" s="583"/>
      <c r="AR244" s="583"/>
      <c r="AX244" s="584"/>
      <c r="AY244" s="543" t="str">
        <f>G242</f>
        <v/>
      </c>
    </row>
    <row r="245" spans="1:51" ht="32.1" customHeight="1">
      <c r="A245" s="1225">
        <v>78</v>
      </c>
      <c r="B245" s="1222" t="str">
        <f>IF(基本情報入力シート!C131="","",基本情報入力シート!C131)</f>
        <v/>
      </c>
      <c r="C245" s="1222"/>
      <c r="D245" s="1222"/>
      <c r="E245" s="1222"/>
      <c r="F245" s="1222"/>
      <c r="G245" s="1234" t="str">
        <f>IF(基本情報入力シート!M131="","",基本情報入力シート!M131)</f>
        <v/>
      </c>
      <c r="H245" s="1234" t="str">
        <f>IF(基本情報入力シート!R131="","",基本情報入力シート!R131)</f>
        <v/>
      </c>
      <c r="I245" s="1234" t="str">
        <f>IF(基本情報入力シート!W131="","",基本情報入力シート!W131)</f>
        <v/>
      </c>
      <c r="J245" s="1234" t="str">
        <f>IF(基本情報入力シート!X131="","",基本情報入力シート!X131)</f>
        <v/>
      </c>
      <c r="K245" s="1234" t="str">
        <f>IF(基本情報入力シート!Y131="","",基本情報入力シート!Y131)</f>
        <v/>
      </c>
      <c r="L245" s="1237" t="str">
        <f>IF(基本情報入力シート!AB131="","",基本情報入力シート!AB131)</f>
        <v/>
      </c>
      <c r="M245" s="1292" t="str">
        <f>IF(基本情報入力シート!AC131="","",基本情報入力シート!AC131)</f>
        <v/>
      </c>
      <c r="N245" s="547" t="s">
        <v>183</v>
      </c>
      <c r="O245" s="151"/>
      <c r="P245" s="548" t="str">
        <f>IFERROR(VLOOKUP(K245,【参考】数式用!$A$5:$J$27,MATCH(O245,【参考】数式用!$B$4:$J$4,0)+1,0),"")</f>
        <v/>
      </c>
      <c r="Q245" s="151"/>
      <c r="R245" s="548" t="str">
        <f>IFERROR(VLOOKUP(K245,【参考】数式用!$A$5:$J$27,MATCH(Q245,【参考】数式用!$B$4:$J$4,0)+1,0),"")</f>
        <v/>
      </c>
      <c r="S245" s="549" t="s">
        <v>19</v>
      </c>
      <c r="T245" s="550">
        <v>6</v>
      </c>
      <c r="U245" s="202" t="s">
        <v>10</v>
      </c>
      <c r="V245" s="71">
        <v>4</v>
      </c>
      <c r="W245" s="202" t="s">
        <v>45</v>
      </c>
      <c r="X245" s="550">
        <v>6</v>
      </c>
      <c r="Y245" s="202" t="s">
        <v>10</v>
      </c>
      <c r="Z245" s="71">
        <v>5</v>
      </c>
      <c r="AA245" s="202" t="s">
        <v>13</v>
      </c>
      <c r="AB245" s="551" t="s">
        <v>24</v>
      </c>
      <c r="AC245" s="552">
        <f t="shared" si="295"/>
        <v>2</v>
      </c>
      <c r="AD245" s="202" t="s">
        <v>38</v>
      </c>
      <c r="AE245" s="553" t="str">
        <f>IFERROR(ROUNDDOWN(ROUND(L245*R245,0)*M245,0)*AC245,"")</f>
        <v/>
      </c>
      <c r="AF245" s="554" t="str">
        <f>IFERROR(ROUNDDOWN(ROUND(L245*(R245-P245),0)*M245,0)*AC245,"")</f>
        <v/>
      </c>
      <c r="AG245" s="555"/>
      <c r="AH245" s="465"/>
      <c r="AI245" s="473"/>
      <c r="AJ245" s="470"/>
      <c r="AK245" s="471"/>
      <c r="AL245" s="451"/>
      <c r="AM245" s="452"/>
      <c r="AN245" s="556" t="str">
        <f t="shared" ref="AN245" si="325">IF(AP245="","",IF(R245&lt;P245,"！加算の要件上は問題ありませんが、令和６年３月と比較して４・５月に加算率が下がる計画になっています。",""))</f>
        <v/>
      </c>
      <c r="AP245" s="557" t="str">
        <f>IF(K245&lt;&gt;"","P列・R列に色付け","")</f>
        <v/>
      </c>
      <c r="AQ245" s="558" t="str">
        <f>IFERROR(VLOOKUP(K245,【参考】数式用!$AJ$2:$AK$24,2,FALSE),"")</f>
        <v/>
      </c>
      <c r="AR245" s="560" t="str">
        <f>Q245&amp;Q246&amp;Q247</f>
        <v/>
      </c>
      <c r="AS245" s="558" t="str">
        <f t="shared" ref="AS245" si="326">IF(AG247&lt;&gt;0,IF(AH247="○","入力済","未入力"),"")</f>
        <v/>
      </c>
      <c r="AT245" s="559" t="str">
        <f>IF(OR(Q245="処遇加算Ⅰ",Q245="処遇加算Ⅱ"),IF(OR(AI245="○",AI245="令和６年度中に満たす"),"入力済","未入力"),"")</f>
        <v/>
      </c>
      <c r="AU245" s="560" t="str">
        <f>IF(Q245="処遇加算Ⅲ",IF(AJ245="○","入力済","未入力"),"")</f>
        <v/>
      </c>
      <c r="AV245" s="558" t="str">
        <f>IF(Q245="処遇加算Ⅰ",IF(OR(AK245="○",AK245="令和６年度中に満たす"),"入力済","未入力"),"")</f>
        <v/>
      </c>
      <c r="AW245" s="558"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43" t="str">
        <f>IF(Q246="特定加算Ⅰ",IF(AM246="","未入力","入力済"),"")</f>
        <v/>
      </c>
      <c r="AY245" s="543" t="str">
        <f>G245</f>
        <v/>
      </c>
    </row>
    <row r="246" spans="1:51" ht="32.1" customHeight="1">
      <c r="A246" s="1226"/>
      <c r="B246" s="1223"/>
      <c r="C246" s="1223"/>
      <c r="D246" s="1223"/>
      <c r="E246" s="1223"/>
      <c r="F246" s="1223"/>
      <c r="G246" s="1235"/>
      <c r="H246" s="1235"/>
      <c r="I246" s="1235"/>
      <c r="J246" s="1235"/>
      <c r="K246" s="1235"/>
      <c r="L246" s="1238"/>
      <c r="M246" s="1293"/>
      <c r="N246" s="561" t="s">
        <v>170</v>
      </c>
      <c r="O246" s="152"/>
      <c r="P246" s="562" t="str">
        <f>IFERROR(VLOOKUP(K245,【参考】数式用!$A$5:$J$27,MATCH(O246,【参考】数式用!$B$4:$J$4,0)+1,0),"")</f>
        <v/>
      </c>
      <c r="Q246" s="152"/>
      <c r="R246" s="562" t="str">
        <f>IFERROR(VLOOKUP(K245,【参考】数式用!$A$5:$J$27,MATCH(Q246,【参考】数式用!$B$4:$J$4,0)+1,0),"")</f>
        <v/>
      </c>
      <c r="S246" s="173" t="s">
        <v>19</v>
      </c>
      <c r="T246" s="563">
        <v>6</v>
      </c>
      <c r="U246" s="174" t="s">
        <v>10</v>
      </c>
      <c r="V246" s="109">
        <v>4</v>
      </c>
      <c r="W246" s="174" t="s">
        <v>45</v>
      </c>
      <c r="X246" s="563">
        <v>6</v>
      </c>
      <c r="Y246" s="174" t="s">
        <v>10</v>
      </c>
      <c r="Z246" s="109">
        <v>5</v>
      </c>
      <c r="AA246" s="174" t="s">
        <v>13</v>
      </c>
      <c r="AB246" s="564" t="s">
        <v>24</v>
      </c>
      <c r="AC246" s="565">
        <f t="shared" si="295"/>
        <v>2</v>
      </c>
      <c r="AD246" s="174" t="s">
        <v>38</v>
      </c>
      <c r="AE246" s="566" t="str">
        <f>IFERROR(ROUNDDOWN(ROUND(L245*R246,0)*M245,0)*AC246,"")</f>
        <v/>
      </c>
      <c r="AF246" s="567" t="str">
        <f>IFERROR(ROUNDDOWN(ROUND(L245*(R246-P246),0)*M245,0)*AC246,"")</f>
        <v/>
      </c>
      <c r="AG246" s="568"/>
      <c r="AH246" s="453"/>
      <c r="AI246" s="454"/>
      <c r="AJ246" s="455"/>
      <c r="AK246" s="456"/>
      <c r="AL246" s="457"/>
      <c r="AM246" s="458"/>
      <c r="AN246" s="569" t="str">
        <f t="shared" ref="AN246" si="327">IF(AP245="","",IF(OR(Z245=4,Z246=4,Z247=4),"！加算の要件上は問題ありませんが、算定期間の終わりが令和６年５月になっていません。区分変更の場合は、「基本情報入力シート」で同じ事業所を２行に分けて記入してください。",""))</f>
        <v/>
      </c>
      <c r="AO246" s="570"/>
      <c r="AP246" s="557" t="str">
        <f>IF(K245&lt;&gt;"","P列・R列に色付け","")</f>
        <v/>
      </c>
      <c r="AY246" s="543" t="str">
        <f>G245</f>
        <v/>
      </c>
    </row>
    <row r="247" spans="1:51" ht="32.1" customHeight="1" thickBot="1">
      <c r="A247" s="1227"/>
      <c r="B247" s="1224"/>
      <c r="C247" s="1224"/>
      <c r="D247" s="1224"/>
      <c r="E247" s="1224"/>
      <c r="F247" s="1224"/>
      <c r="G247" s="1236"/>
      <c r="H247" s="1236"/>
      <c r="I247" s="1236"/>
      <c r="J247" s="1236"/>
      <c r="K247" s="1236"/>
      <c r="L247" s="1239"/>
      <c r="M247" s="1294"/>
      <c r="N247" s="571" t="s">
        <v>140</v>
      </c>
      <c r="O247" s="155"/>
      <c r="P247" s="591" t="str">
        <f>IFERROR(VLOOKUP(K245,【参考】数式用!$A$5:$J$27,MATCH(O247,【参考】数式用!$B$4:$J$4,0)+1,0),"")</f>
        <v/>
      </c>
      <c r="Q247" s="153"/>
      <c r="R247" s="572" t="str">
        <f>IFERROR(VLOOKUP(K245,【参考】数式用!$A$5:$J$27,MATCH(Q247,【参考】数式用!$B$4:$J$4,0)+1,0),"")</f>
        <v/>
      </c>
      <c r="S247" s="573" t="s">
        <v>19</v>
      </c>
      <c r="T247" s="574">
        <v>6</v>
      </c>
      <c r="U247" s="575" t="s">
        <v>10</v>
      </c>
      <c r="V247" s="110">
        <v>4</v>
      </c>
      <c r="W247" s="575" t="s">
        <v>45</v>
      </c>
      <c r="X247" s="574">
        <v>6</v>
      </c>
      <c r="Y247" s="575" t="s">
        <v>10</v>
      </c>
      <c r="Z247" s="110">
        <v>5</v>
      </c>
      <c r="AA247" s="575" t="s">
        <v>13</v>
      </c>
      <c r="AB247" s="576" t="s">
        <v>24</v>
      </c>
      <c r="AC247" s="577">
        <f t="shared" si="295"/>
        <v>2</v>
      </c>
      <c r="AD247" s="575" t="s">
        <v>38</v>
      </c>
      <c r="AE247" s="590" t="str">
        <f>IFERROR(ROUNDDOWN(ROUND(L245*R247,0)*M245,0)*AC247,"")</f>
        <v/>
      </c>
      <c r="AF247" s="579" t="str">
        <f>IFERROR(ROUNDDOWN(ROUND(L245*(R247-P247),0)*M245,0)*AC247,"")</f>
        <v/>
      </c>
      <c r="AG247" s="580">
        <f t="shared" si="246"/>
        <v>0</v>
      </c>
      <c r="AH247" s="459"/>
      <c r="AI247" s="460"/>
      <c r="AJ247" s="461"/>
      <c r="AK247" s="462"/>
      <c r="AL247" s="463"/>
      <c r="AM247" s="464"/>
      <c r="AN247" s="581" t="str">
        <f t="shared" ref="AN247" si="328">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82" t="str">
        <f>IF(K245&lt;&gt;"","P列・R列に色付け","")</f>
        <v/>
      </c>
      <c r="AQ247" s="583"/>
      <c r="AR247" s="583"/>
      <c r="AX247" s="584"/>
      <c r="AY247" s="543" t="str">
        <f>G245</f>
        <v/>
      </c>
    </row>
    <row r="248" spans="1:51" ht="32.1" customHeight="1">
      <c r="A248" s="1225">
        <v>79</v>
      </c>
      <c r="B248" s="1222" t="str">
        <f>IF(基本情報入力シート!C132="","",基本情報入力シート!C132)</f>
        <v/>
      </c>
      <c r="C248" s="1222"/>
      <c r="D248" s="1222"/>
      <c r="E248" s="1222"/>
      <c r="F248" s="1222"/>
      <c r="G248" s="1234" t="str">
        <f>IF(基本情報入力シート!M132="","",基本情報入力シート!M132)</f>
        <v/>
      </c>
      <c r="H248" s="1234" t="str">
        <f>IF(基本情報入力シート!R132="","",基本情報入力シート!R132)</f>
        <v/>
      </c>
      <c r="I248" s="1234" t="str">
        <f>IF(基本情報入力シート!W132="","",基本情報入力シート!W132)</f>
        <v/>
      </c>
      <c r="J248" s="1234" t="str">
        <f>IF(基本情報入力シート!X132="","",基本情報入力シート!X132)</f>
        <v/>
      </c>
      <c r="K248" s="1234" t="str">
        <f>IF(基本情報入力シート!Y132="","",基本情報入力シート!Y132)</f>
        <v/>
      </c>
      <c r="L248" s="1237" t="str">
        <f>IF(基本情報入力シート!AB132="","",基本情報入力シート!AB132)</f>
        <v/>
      </c>
      <c r="M248" s="1292" t="str">
        <f>IF(基本情報入力シート!AC132="","",基本情報入力シート!AC132)</f>
        <v/>
      </c>
      <c r="N248" s="547" t="s">
        <v>183</v>
      </c>
      <c r="O248" s="151"/>
      <c r="P248" s="548" t="str">
        <f>IFERROR(VLOOKUP(K248,【参考】数式用!$A$5:$J$27,MATCH(O248,【参考】数式用!$B$4:$J$4,0)+1,0),"")</f>
        <v/>
      </c>
      <c r="Q248" s="151"/>
      <c r="R248" s="548" t="str">
        <f>IFERROR(VLOOKUP(K248,【参考】数式用!$A$5:$J$27,MATCH(Q248,【参考】数式用!$B$4:$J$4,0)+1,0),"")</f>
        <v/>
      </c>
      <c r="S248" s="549" t="s">
        <v>19</v>
      </c>
      <c r="T248" s="550">
        <v>6</v>
      </c>
      <c r="U248" s="202" t="s">
        <v>10</v>
      </c>
      <c r="V248" s="71">
        <v>4</v>
      </c>
      <c r="W248" s="202" t="s">
        <v>45</v>
      </c>
      <c r="X248" s="550">
        <v>6</v>
      </c>
      <c r="Y248" s="202" t="s">
        <v>10</v>
      </c>
      <c r="Z248" s="71">
        <v>5</v>
      </c>
      <c r="AA248" s="202" t="s">
        <v>13</v>
      </c>
      <c r="AB248" s="551" t="s">
        <v>24</v>
      </c>
      <c r="AC248" s="552">
        <f t="shared" si="295"/>
        <v>2</v>
      </c>
      <c r="AD248" s="202" t="s">
        <v>38</v>
      </c>
      <c r="AE248" s="553" t="str">
        <f>IFERROR(ROUNDDOWN(ROUND(L248*R248,0)*M248,0)*AC248,"")</f>
        <v/>
      </c>
      <c r="AF248" s="554" t="str">
        <f>IFERROR(ROUNDDOWN(ROUND(L248*(R248-P248),0)*M248,0)*AC248,"")</f>
        <v/>
      </c>
      <c r="AG248" s="555"/>
      <c r="AH248" s="465"/>
      <c r="AI248" s="473"/>
      <c r="AJ248" s="470"/>
      <c r="AK248" s="471"/>
      <c r="AL248" s="451"/>
      <c r="AM248" s="452"/>
      <c r="AN248" s="556" t="str">
        <f t="shared" ref="AN248" si="329">IF(AP248="","",IF(R248&lt;P248,"！加算の要件上は問題ありませんが、令和６年３月と比較して４・５月に加算率が下がる計画になっています。",""))</f>
        <v/>
      </c>
      <c r="AP248" s="557" t="str">
        <f>IF(K248&lt;&gt;"","P列・R列に色付け","")</f>
        <v/>
      </c>
      <c r="AQ248" s="558" t="str">
        <f>IFERROR(VLOOKUP(K248,【参考】数式用!$AJ$2:$AK$24,2,FALSE),"")</f>
        <v/>
      </c>
      <c r="AR248" s="560" t="str">
        <f>Q248&amp;Q249&amp;Q250</f>
        <v/>
      </c>
      <c r="AS248" s="558" t="str">
        <f t="shared" ref="AS248" si="330">IF(AG250&lt;&gt;0,IF(AH250="○","入力済","未入力"),"")</f>
        <v/>
      </c>
      <c r="AT248" s="559" t="str">
        <f>IF(OR(Q248="処遇加算Ⅰ",Q248="処遇加算Ⅱ"),IF(OR(AI248="○",AI248="令和６年度中に満たす"),"入力済","未入力"),"")</f>
        <v/>
      </c>
      <c r="AU248" s="560" t="str">
        <f>IF(Q248="処遇加算Ⅲ",IF(AJ248="○","入力済","未入力"),"")</f>
        <v/>
      </c>
      <c r="AV248" s="558" t="str">
        <f>IF(Q248="処遇加算Ⅰ",IF(OR(AK248="○",AK248="令和６年度中に満たす"),"入力済","未入力"),"")</f>
        <v/>
      </c>
      <c r="AW248" s="558"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43" t="str">
        <f>IF(Q249="特定加算Ⅰ",IF(AM249="","未入力","入力済"),"")</f>
        <v/>
      </c>
      <c r="AY248" s="543" t="str">
        <f>G248</f>
        <v/>
      </c>
    </row>
    <row r="249" spans="1:51" ht="32.1" customHeight="1">
      <c r="A249" s="1226"/>
      <c r="B249" s="1223"/>
      <c r="C249" s="1223"/>
      <c r="D249" s="1223"/>
      <c r="E249" s="1223"/>
      <c r="F249" s="1223"/>
      <c r="G249" s="1235"/>
      <c r="H249" s="1235"/>
      <c r="I249" s="1235"/>
      <c r="J249" s="1235"/>
      <c r="K249" s="1235"/>
      <c r="L249" s="1238"/>
      <c r="M249" s="1293"/>
      <c r="N249" s="561" t="s">
        <v>170</v>
      </c>
      <c r="O249" s="152"/>
      <c r="P249" s="562" t="str">
        <f>IFERROR(VLOOKUP(K248,【参考】数式用!$A$5:$J$27,MATCH(O249,【参考】数式用!$B$4:$J$4,0)+1,0),"")</f>
        <v/>
      </c>
      <c r="Q249" s="152"/>
      <c r="R249" s="562" t="str">
        <f>IFERROR(VLOOKUP(K248,【参考】数式用!$A$5:$J$27,MATCH(Q249,【参考】数式用!$B$4:$J$4,0)+1,0),"")</f>
        <v/>
      </c>
      <c r="S249" s="173" t="s">
        <v>19</v>
      </c>
      <c r="T249" s="563">
        <v>6</v>
      </c>
      <c r="U249" s="174" t="s">
        <v>10</v>
      </c>
      <c r="V249" s="109">
        <v>4</v>
      </c>
      <c r="W249" s="174" t="s">
        <v>45</v>
      </c>
      <c r="X249" s="563">
        <v>6</v>
      </c>
      <c r="Y249" s="174" t="s">
        <v>10</v>
      </c>
      <c r="Z249" s="109">
        <v>5</v>
      </c>
      <c r="AA249" s="174" t="s">
        <v>13</v>
      </c>
      <c r="AB249" s="564" t="s">
        <v>24</v>
      </c>
      <c r="AC249" s="565">
        <f t="shared" si="295"/>
        <v>2</v>
      </c>
      <c r="AD249" s="174" t="s">
        <v>38</v>
      </c>
      <c r="AE249" s="566" t="str">
        <f>IFERROR(ROUNDDOWN(ROUND(L248*R249,0)*M248,0)*AC249,"")</f>
        <v/>
      </c>
      <c r="AF249" s="567" t="str">
        <f>IFERROR(ROUNDDOWN(ROUND(L248*(R249-P249),0)*M248,0)*AC249,"")</f>
        <v/>
      </c>
      <c r="AG249" s="568"/>
      <c r="AH249" s="453"/>
      <c r="AI249" s="454"/>
      <c r="AJ249" s="455"/>
      <c r="AK249" s="456"/>
      <c r="AL249" s="457"/>
      <c r="AM249" s="458"/>
      <c r="AN249" s="569" t="str">
        <f t="shared" ref="AN249" si="331">IF(AP248="","",IF(OR(Z248=4,Z249=4,Z250=4),"！加算の要件上は問題ありませんが、算定期間の終わりが令和６年５月になっていません。区分変更の場合は、「基本情報入力シート」で同じ事業所を２行に分けて記入してください。",""))</f>
        <v/>
      </c>
      <c r="AO249" s="570"/>
      <c r="AP249" s="557" t="str">
        <f>IF(K248&lt;&gt;"","P列・R列に色付け","")</f>
        <v/>
      </c>
      <c r="AY249" s="543" t="str">
        <f>G248</f>
        <v/>
      </c>
    </row>
    <row r="250" spans="1:51" ht="32.1" customHeight="1" thickBot="1">
      <c r="A250" s="1227"/>
      <c r="B250" s="1224"/>
      <c r="C250" s="1224"/>
      <c r="D250" s="1224"/>
      <c r="E250" s="1224"/>
      <c r="F250" s="1224"/>
      <c r="G250" s="1236"/>
      <c r="H250" s="1236"/>
      <c r="I250" s="1236"/>
      <c r="J250" s="1236"/>
      <c r="K250" s="1236"/>
      <c r="L250" s="1239"/>
      <c r="M250" s="1294"/>
      <c r="N250" s="571" t="s">
        <v>140</v>
      </c>
      <c r="O250" s="155"/>
      <c r="P250" s="591" t="str">
        <f>IFERROR(VLOOKUP(K248,【参考】数式用!$A$5:$J$27,MATCH(O250,【参考】数式用!$B$4:$J$4,0)+1,0),"")</f>
        <v/>
      </c>
      <c r="Q250" s="153"/>
      <c r="R250" s="572" t="str">
        <f>IFERROR(VLOOKUP(K248,【参考】数式用!$A$5:$J$27,MATCH(Q250,【参考】数式用!$B$4:$J$4,0)+1,0),"")</f>
        <v/>
      </c>
      <c r="S250" s="573" t="s">
        <v>19</v>
      </c>
      <c r="T250" s="574">
        <v>6</v>
      </c>
      <c r="U250" s="575" t="s">
        <v>10</v>
      </c>
      <c r="V250" s="110">
        <v>4</v>
      </c>
      <c r="W250" s="575" t="s">
        <v>45</v>
      </c>
      <c r="X250" s="574">
        <v>6</v>
      </c>
      <c r="Y250" s="575" t="s">
        <v>10</v>
      </c>
      <c r="Z250" s="110">
        <v>5</v>
      </c>
      <c r="AA250" s="575" t="s">
        <v>13</v>
      </c>
      <c r="AB250" s="576" t="s">
        <v>24</v>
      </c>
      <c r="AC250" s="577">
        <f t="shared" si="295"/>
        <v>2</v>
      </c>
      <c r="AD250" s="575" t="s">
        <v>38</v>
      </c>
      <c r="AE250" s="590" t="str">
        <f>IFERROR(ROUNDDOWN(ROUND(L248*R250,0)*M248,0)*AC250,"")</f>
        <v/>
      </c>
      <c r="AF250" s="579" t="str">
        <f>IFERROR(ROUNDDOWN(ROUND(L248*(R250-P250),0)*M248,0)*AC250,"")</f>
        <v/>
      </c>
      <c r="AG250" s="580">
        <f t="shared" si="246"/>
        <v>0</v>
      </c>
      <c r="AH250" s="459"/>
      <c r="AI250" s="460"/>
      <c r="AJ250" s="461"/>
      <c r="AK250" s="462"/>
      <c r="AL250" s="463"/>
      <c r="AM250" s="464"/>
      <c r="AN250" s="581" t="str">
        <f t="shared" ref="AN250" si="332">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82" t="str">
        <f>IF(K248&lt;&gt;"","P列・R列に色付け","")</f>
        <v/>
      </c>
      <c r="AQ250" s="583"/>
      <c r="AR250" s="583"/>
      <c r="AX250" s="584"/>
      <c r="AY250" s="543" t="str">
        <f>G248</f>
        <v/>
      </c>
    </row>
    <row r="251" spans="1:51" ht="32.1" customHeight="1">
      <c r="A251" s="1225">
        <v>80</v>
      </c>
      <c r="B251" s="1222" t="str">
        <f>IF(基本情報入力シート!C133="","",基本情報入力シート!C133)</f>
        <v/>
      </c>
      <c r="C251" s="1222"/>
      <c r="D251" s="1222"/>
      <c r="E251" s="1222"/>
      <c r="F251" s="1222"/>
      <c r="G251" s="1234" t="str">
        <f>IF(基本情報入力シート!M133="","",基本情報入力シート!M133)</f>
        <v/>
      </c>
      <c r="H251" s="1234" t="str">
        <f>IF(基本情報入力シート!R133="","",基本情報入力シート!R133)</f>
        <v/>
      </c>
      <c r="I251" s="1234" t="str">
        <f>IF(基本情報入力シート!W133="","",基本情報入力シート!W133)</f>
        <v/>
      </c>
      <c r="J251" s="1234" t="str">
        <f>IF(基本情報入力シート!X133="","",基本情報入力シート!X133)</f>
        <v/>
      </c>
      <c r="K251" s="1234" t="str">
        <f>IF(基本情報入力シート!Y133="","",基本情報入力シート!Y133)</f>
        <v/>
      </c>
      <c r="L251" s="1237" t="str">
        <f>IF(基本情報入力シート!AB133="","",基本情報入力シート!AB133)</f>
        <v/>
      </c>
      <c r="M251" s="1292" t="str">
        <f>IF(基本情報入力シート!AC133="","",基本情報入力シート!AC133)</f>
        <v/>
      </c>
      <c r="N251" s="547" t="s">
        <v>183</v>
      </c>
      <c r="O251" s="151"/>
      <c r="P251" s="548" t="str">
        <f>IFERROR(VLOOKUP(K251,【参考】数式用!$A$5:$J$27,MATCH(O251,【参考】数式用!$B$4:$J$4,0)+1,0),"")</f>
        <v/>
      </c>
      <c r="Q251" s="151"/>
      <c r="R251" s="548" t="str">
        <f>IFERROR(VLOOKUP(K251,【参考】数式用!$A$5:$J$27,MATCH(Q251,【参考】数式用!$B$4:$J$4,0)+1,0),"")</f>
        <v/>
      </c>
      <c r="S251" s="549" t="s">
        <v>19</v>
      </c>
      <c r="T251" s="550">
        <v>6</v>
      </c>
      <c r="U251" s="202" t="s">
        <v>10</v>
      </c>
      <c r="V251" s="71">
        <v>4</v>
      </c>
      <c r="W251" s="202" t="s">
        <v>45</v>
      </c>
      <c r="X251" s="550">
        <v>6</v>
      </c>
      <c r="Y251" s="202" t="s">
        <v>10</v>
      </c>
      <c r="Z251" s="71">
        <v>5</v>
      </c>
      <c r="AA251" s="202" t="s">
        <v>13</v>
      </c>
      <c r="AB251" s="551" t="s">
        <v>24</v>
      </c>
      <c r="AC251" s="552">
        <f t="shared" si="295"/>
        <v>2</v>
      </c>
      <c r="AD251" s="202" t="s">
        <v>38</v>
      </c>
      <c r="AE251" s="553" t="str">
        <f>IFERROR(ROUNDDOWN(ROUND(L251*R251,0)*M251,0)*AC251,"")</f>
        <v/>
      </c>
      <c r="AF251" s="554" t="str">
        <f>IFERROR(ROUNDDOWN(ROUND(L251*(R251-P251),0)*M251,0)*AC251,"")</f>
        <v/>
      </c>
      <c r="AG251" s="555"/>
      <c r="AH251" s="465"/>
      <c r="AI251" s="473"/>
      <c r="AJ251" s="470"/>
      <c r="AK251" s="471"/>
      <c r="AL251" s="451"/>
      <c r="AM251" s="452"/>
      <c r="AN251" s="556" t="str">
        <f t="shared" ref="AN251" si="333">IF(AP251="","",IF(R251&lt;P251,"！加算の要件上は問題ありませんが、令和６年３月と比較して４・５月に加算率が下がる計画になっています。",""))</f>
        <v/>
      </c>
      <c r="AP251" s="557" t="str">
        <f>IF(K251&lt;&gt;"","P列・R列に色付け","")</f>
        <v/>
      </c>
      <c r="AQ251" s="558" t="str">
        <f>IFERROR(VLOOKUP(K251,【参考】数式用!$AJ$2:$AK$24,2,FALSE),"")</f>
        <v/>
      </c>
      <c r="AR251" s="560" t="str">
        <f>Q251&amp;Q252&amp;Q253</f>
        <v/>
      </c>
      <c r="AS251" s="558" t="str">
        <f t="shared" ref="AS251" si="334">IF(AG253&lt;&gt;0,IF(AH253="○","入力済","未入力"),"")</f>
        <v/>
      </c>
      <c r="AT251" s="559" t="str">
        <f>IF(OR(Q251="処遇加算Ⅰ",Q251="処遇加算Ⅱ"),IF(OR(AI251="○",AI251="令和６年度中に満たす"),"入力済","未入力"),"")</f>
        <v/>
      </c>
      <c r="AU251" s="560" t="str">
        <f>IF(Q251="処遇加算Ⅲ",IF(AJ251="○","入力済","未入力"),"")</f>
        <v/>
      </c>
      <c r="AV251" s="558" t="str">
        <f>IF(Q251="処遇加算Ⅰ",IF(OR(AK251="○",AK251="令和６年度中に満たす"),"入力済","未入力"),"")</f>
        <v/>
      </c>
      <c r="AW251" s="558"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43" t="str">
        <f>IF(Q252="特定加算Ⅰ",IF(AM252="","未入力","入力済"),"")</f>
        <v/>
      </c>
      <c r="AY251" s="543" t="str">
        <f>G251</f>
        <v/>
      </c>
    </row>
    <row r="252" spans="1:51" ht="32.1" customHeight="1">
      <c r="A252" s="1226"/>
      <c r="B252" s="1223"/>
      <c r="C252" s="1223"/>
      <c r="D252" s="1223"/>
      <c r="E252" s="1223"/>
      <c r="F252" s="1223"/>
      <c r="G252" s="1235"/>
      <c r="H252" s="1235"/>
      <c r="I252" s="1235"/>
      <c r="J252" s="1235"/>
      <c r="K252" s="1235"/>
      <c r="L252" s="1238"/>
      <c r="M252" s="1293"/>
      <c r="N252" s="561" t="s">
        <v>170</v>
      </c>
      <c r="O252" s="152"/>
      <c r="P252" s="562" t="str">
        <f>IFERROR(VLOOKUP(K251,【参考】数式用!$A$5:$J$27,MATCH(O252,【参考】数式用!$B$4:$J$4,0)+1,0),"")</f>
        <v/>
      </c>
      <c r="Q252" s="152"/>
      <c r="R252" s="562" t="str">
        <f>IFERROR(VLOOKUP(K251,【参考】数式用!$A$5:$J$27,MATCH(Q252,【参考】数式用!$B$4:$J$4,0)+1,0),"")</f>
        <v/>
      </c>
      <c r="S252" s="173" t="s">
        <v>19</v>
      </c>
      <c r="T252" s="563">
        <v>6</v>
      </c>
      <c r="U252" s="174" t="s">
        <v>10</v>
      </c>
      <c r="V252" s="109">
        <v>4</v>
      </c>
      <c r="W252" s="174" t="s">
        <v>45</v>
      </c>
      <c r="X252" s="563">
        <v>6</v>
      </c>
      <c r="Y252" s="174" t="s">
        <v>10</v>
      </c>
      <c r="Z252" s="109">
        <v>5</v>
      </c>
      <c r="AA252" s="174" t="s">
        <v>13</v>
      </c>
      <c r="AB252" s="564" t="s">
        <v>24</v>
      </c>
      <c r="AC252" s="565">
        <f t="shared" si="295"/>
        <v>2</v>
      </c>
      <c r="AD252" s="174" t="s">
        <v>38</v>
      </c>
      <c r="AE252" s="566" t="str">
        <f>IFERROR(ROUNDDOWN(ROUND(L251*R252,0)*M251,0)*AC252,"")</f>
        <v/>
      </c>
      <c r="AF252" s="567" t="str">
        <f>IFERROR(ROUNDDOWN(ROUND(L251*(R252-P252),0)*M251,0)*AC252,"")</f>
        <v/>
      </c>
      <c r="AG252" s="568"/>
      <c r="AH252" s="453"/>
      <c r="AI252" s="454"/>
      <c r="AJ252" s="455"/>
      <c r="AK252" s="456"/>
      <c r="AL252" s="457"/>
      <c r="AM252" s="458"/>
      <c r="AN252" s="569" t="str">
        <f t="shared" ref="AN252" si="335">IF(AP251="","",IF(OR(Z251=4,Z252=4,Z253=4),"！加算の要件上は問題ありませんが、算定期間の終わりが令和６年５月になっていません。区分変更の場合は、「基本情報入力シート」で同じ事業所を２行に分けて記入してください。",""))</f>
        <v/>
      </c>
      <c r="AO252" s="570"/>
      <c r="AP252" s="557" t="str">
        <f>IF(K251&lt;&gt;"","P列・R列に色付け","")</f>
        <v/>
      </c>
      <c r="AY252" s="543" t="str">
        <f>G251</f>
        <v/>
      </c>
    </row>
    <row r="253" spans="1:51" ht="32.1" customHeight="1" thickBot="1">
      <c r="A253" s="1227"/>
      <c r="B253" s="1224"/>
      <c r="C253" s="1224"/>
      <c r="D253" s="1224"/>
      <c r="E253" s="1224"/>
      <c r="F253" s="1224"/>
      <c r="G253" s="1236"/>
      <c r="H253" s="1236"/>
      <c r="I253" s="1236"/>
      <c r="J253" s="1236"/>
      <c r="K253" s="1236"/>
      <c r="L253" s="1239"/>
      <c r="M253" s="1294"/>
      <c r="N253" s="571" t="s">
        <v>140</v>
      </c>
      <c r="O253" s="155"/>
      <c r="P253" s="591" t="str">
        <f>IFERROR(VLOOKUP(K251,【参考】数式用!$A$5:$J$27,MATCH(O253,【参考】数式用!$B$4:$J$4,0)+1,0),"")</f>
        <v/>
      </c>
      <c r="Q253" s="153"/>
      <c r="R253" s="572" t="str">
        <f>IFERROR(VLOOKUP(K251,【参考】数式用!$A$5:$J$27,MATCH(Q253,【参考】数式用!$B$4:$J$4,0)+1,0),"")</f>
        <v/>
      </c>
      <c r="S253" s="573" t="s">
        <v>19</v>
      </c>
      <c r="T253" s="574">
        <v>6</v>
      </c>
      <c r="U253" s="575" t="s">
        <v>10</v>
      </c>
      <c r="V253" s="110">
        <v>4</v>
      </c>
      <c r="W253" s="575" t="s">
        <v>45</v>
      </c>
      <c r="X253" s="574">
        <v>6</v>
      </c>
      <c r="Y253" s="575" t="s">
        <v>10</v>
      </c>
      <c r="Z253" s="110">
        <v>5</v>
      </c>
      <c r="AA253" s="575" t="s">
        <v>13</v>
      </c>
      <c r="AB253" s="576" t="s">
        <v>24</v>
      </c>
      <c r="AC253" s="577">
        <f t="shared" si="295"/>
        <v>2</v>
      </c>
      <c r="AD253" s="575" t="s">
        <v>38</v>
      </c>
      <c r="AE253" s="590" t="str">
        <f>IFERROR(ROUNDDOWN(ROUND(L251*R253,0)*M251,0)*AC253,"")</f>
        <v/>
      </c>
      <c r="AF253" s="579" t="str">
        <f>IFERROR(ROUNDDOWN(ROUND(L251*(R253-P253),0)*M251,0)*AC253,"")</f>
        <v/>
      </c>
      <c r="AG253" s="580">
        <f t="shared" ref="AG253:AG313" si="336">IF(AND(O253="ベア加算なし",Q253="ベア加算"),AE253,0)</f>
        <v>0</v>
      </c>
      <c r="AH253" s="459"/>
      <c r="AI253" s="460"/>
      <c r="AJ253" s="461"/>
      <c r="AK253" s="462"/>
      <c r="AL253" s="463"/>
      <c r="AM253" s="464"/>
      <c r="AN253" s="581" t="str">
        <f t="shared" ref="AN253" si="337">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82" t="str">
        <f>IF(K251&lt;&gt;"","P列・R列に色付け","")</f>
        <v/>
      </c>
      <c r="AQ253" s="583"/>
      <c r="AR253" s="583"/>
      <c r="AX253" s="584"/>
      <c r="AY253" s="543" t="str">
        <f>G251</f>
        <v/>
      </c>
    </row>
    <row r="254" spans="1:51" ht="32.1" customHeight="1">
      <c r="A254" s="1225">
        <v>81</v>
      </c>
      <c r="B254" s="1222" t="str">
        <f>IF(基本情報入力シート!C134="","",基本情報入力シート!C134)</f>
        <v/>
      </c>
      <c r="C254" s="1222"/>
      <c r="D254" s="1222"/>
      <c r="E254" s="1222"/>
      <c r="F254" s="1222"/>
      <c r="G254" s="1234" t="str">
        <f>IF(基本情報入力シート!M134="","",基本情報入力シート!M134)</f>
        <v/>
      </c>
      <c r="H254" s="1234" t="str">
        <f>IF(基本情報入力シート!R134="","",基本情報入力シート!R134)</f>
        <v/>
      </c>
      <c r="I254" s="1234" t="str">
        <f>IF(基本情報入力シート!W134="","",基本情報入力シート!W134)</f>
        <v/>
      </c>
      <c r="J254" s="1234" t="str">
        <f>IF(基本情報入力シート!X134="","",基本情報入力シート!X134)</f>
        <v/>
      </c>
      <c r="K254" s="1234" t="str">
        <f>IF(基本情報入力シート!Y134="","",基本情報入力シート!Y134)</f>
        <v/>
      </c>
      <c r="L254" s="1237" t="str">
        <f>IF(基本情報入力シート!AB134="","",基本情報入力シート!AB134)</f>
        <v/>
      </c>
      <c r="M254" s="1292" t="str">
        <f>IF(基本情報入力シート!AC134="","",基本情報入力シート!AC134)</f>
        <v/>
      </c>
      <c r="N254" s="547" t="s">
        <v>183</v>
      </c>
      <c r="O254" s="151"/>
      <c r="P254" s="548" t="str">
        <f>IFERROR(VLOOKUP(K254,【参考】数式用!$A$5:$J$27,MATCH(O254,【参考】数式用!$B$4:$J$4,0)+1,0),"")</f>
        <v/>
      </c>
      <c r="Q254" s="151"/>
      <c r="R254" s="548" t="str">
        <f>IFERROR(VLOOKUP(K254,【参考】数式用!$A$5:$J$27,MATCH(Q254,【参考】数式用!$B$4:$J$4,0)+1,0),"")</f>
        <v/>
      </c>
      <c r="S254" s="549" t="s">
        <v>19</v>
      </c>
      <c r="T254" s="550">
        <v>6</v>
      </c>
      <c r="U254" s="202" t="s">
        <v>10</v>
      </c>
      <c r="V254" s="71">
        <v>4</v>
      </c>
      <c r="W254" s="202" t="s">
        <v>45</v>
      </c>
      <c r="X254" s="550">
        <v>6</v>
      </c>
      <c r="Y254" s="202" t="s">
        <v>10</v>
      </c>
      <c r="Z254" s="71">
        <v>5</v>
      </c>
      <c r="AA254" s="202" t="s">
        <v>13</v>
      </c>
      <c r="AB254" s="551" t="s">
        <v>24</v>
      </c>
      <c r="AC254" s="552">
        <f t="shared" si="295"/>
        <v>2</v>
      </c>
      <c r="AD254" s="202" t="s">
        <v>38</v>
      </c>
      <c r="AE254" s="553" t="str">
        <f>IFERROR(ROUNDDOWN(ROUND(L254*R254,0)*M254,0)*AC254,"")</f>
        <v/>
      </c>
      <c r="AF254" s="554" t="str">
        <f>IFERROR(ROUNDDOWN(ROUND(L254*(R254-P254),0)*M254,0)*AC254,"")</f>
        <v/>
      </c>
      <c r="AG254" s="555"/>
      <c r="AH254" s="465"/>
      <c r="AI254" s="473"/>
      <c r="AJ254" s="470"/>
      <c r="AK254" s="471"/>
      <c r="AL254" s="451"/>
      <c r="AM254" s="452"/>
      <c r="AN254" s="556" t="str">
        <f t="shared" ref="AN254" si="338">IF(AP254="","",IF(R254&lt;P254,"！加算の要件上は問題ありませんが、令和６年３月と比較して４・５月に加算率が下がる計画になっています。",""))</f>
        <v/>
      </c>
      <c r="AP254" s="557" t="str">
        <f>IF(K254&lt;&gt;"","P列・R列に色付け","")</f>
        <v/>
      </c>
      <c r="AQ254" s="558" t="str">
        <f>IFERROR(VLOOKUP(K254,【参考】数式用!$AJ$2:$AK$24,2,FALSE),"")</f>
        <v/>
      </c>
      <c r="AR254" s="560" t="str">
        <f>Q254&amp;Q255&amp;Q256</f>
        <v/>
      </c>
      <c r="AS254" s="558" t="str">
        <f t="shared" ref="AS254" si="339">IF(AG256&lt;&gt;0,IF(AH256="○","入力済","未入力"),"")</f>
        <v/>
      </c>
      <c r="AT254" s="559" t="str">
        <f>IF(OR(Q254="処遇加算Ⅰ",Q254="処遇加算Ⅱ"),IF(OR(AI254="○",AI254="令和６年度中に満たす"),"入力済","未入力"),"")</f>
        <v/>
      </c>
      <c r="AU254" s="560" t="str">
        <f>IF(Q254="処遇加算Ⅲ",IF(AJ254="○","入力済","未入力"),"")</f>
        <v/>
      </c>
      <c r="AV254" s="558" t="str">
        <f>IF(Q254="処遇加算Ⅰ",IF(OR(AK254="○",AK254="令和６年度中に満たす"),"入力済","未入力"),"")</f>
        <v/>
      </c>
      <c r="AW254" s="558"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43" t="str">
        <f>IF(Q255="特定加算Ⅰ",IF(AM255="","未入力","入力済"),"")</f>
        <v/>
      </c>
      <c r="AY254" s="543" t="str">
        <f>G254</f>
        <v/>
      </c>
    </row>
    <row r="255" spans="1:51" ht="32.1" customHeight="1">
      <c r="A255" s="1226"/>
      <c r="B255" s="1223"/>
      <c r="C255" s="1223"/>
      <c r="D255" s="1223"/>
      <c r="E255" s="1223"/>
      <c r="F255" s="1223"/>
      <c r="G255" s="1235"/>
      <c r="H255" s="1235"/>
      <c r="I255" s="1235"/>
      <c r="J255" s="1235"/>
      <c r="K255" s="1235"/>
      <c r="L255" s="1238"/>
      <c r="M255" s="1293"/>
      <c r="N255" s="561" t="s">
        <v>170</v>
      </c>
      <c r="O255" s="152"/>
      <c r="P255" s="562" t="str">
        <f>IFERROR(VLOOKUP(K254,【参考】数式用!$A$5:$J$27,MATCH(O255,【参考】数式用!$B$4:$J$4,0)+1,0),"")</f>
        <v/>
      </c>
      <c r="Q255" s="152"/>
      <c r="R255" s="562" t="str">
        <f>IFERROR(VLOOKUP(K254,【参考】数式用!$A$5:$J$27,MATCH(Q255,【参考】数式用!$B$4:$J$4,0)+1,0),"")</f>
        <v/>
      </c>
      <c r="S255" s="173" t="s">
        <v>19</v>
      </c>
      <c r="T255" s="563">
        <v>6</v>
      </c>
      <c r="U255" s="174" t="s">
        <v>10</v>
      </c>
      <c r="V255" s="109">
        <v>4</v>
      </c>
      <c r="W255" s="174" t="s">
        <v>45</v>
      </c>
      <c r="X255" s="563">
        <v>6</v>
      </c>
      <c r="Y255" s="174" t="s">
        <v>10</v>
      </c>
      <c r="Z255" s="109">
        <v>5</v>
      </c>
      <c r="AA255" s="174" t="s">
        <v>13</v>
      </c>
      <c r="AB255" s="564" t="s">
        <v>24</v>
      </c>
      <c r="AC255" s="565">
        <f t="shared" si="295"/>
        <v>2</v>
      </c>
      <c r="AD255" s="174" t="s">
        <v>38</v>
      </c>
      <c r="AE255" s="566" t="str">
        <f>IFERROR(ROUNDDOWN(ROUND(L254*R255,0)*M254,0)*AC255,"")</f>
        <v/>
      </c>
      <c r="AF255" s="567" t="str">
        <f>IFERROR(ROUNDDOWN(ROUND(L254*(R255-P255),0)*M254,0)*AC255,"")</f>
        <v/>
      </c>
      <c r="AG255" s="568"/>
      <c r="AH255" s="453"/>
      <c r="AI255" s="454"/>
      <c r="AJ255" s="455"/>
      <c r="AK255" s="456"/>
      <c r="AL255" s="457"/>
      <c r="AM255" s="458"/>
      <c r="AN255" s="569" t="str">
        <f t="shared" ref="AN255" si="340">IF(AP254="","",IF(OR(Z254=4,Z255=4,Z256=4),"！加算の要件上は問題ありませんが、算定期間の終わりが令和６年５月になっていません。区分変更の場合は、「基本情報入力シート」で同じ事業所を２行に分けて記入してください。",""))</f>
        <v/>
      </c>
      <c r="AO255" s="570"/>
      <c r="AP255" s="557" t="str">
        <f>IF(K254&lt;&gt;"","P列・R列に色付け","")</f>
        <v/>
      </c>
      <c r="AY255" s="543" t="str">
        <f>G254</f>
        <v/>
      </c>
    </row>
    <row r="256" spans="1:51" ht="32.1" customHeight="1" thickBot="1">
      <c r="A256" s="1227"/>
      <c r="B256" s="1224"/>
      <c r="C256" s="1224"/>
      <c r="D256" s="1224"/>
      <c r="E256" s="1224"/>
      <c r="F256" s="1224"/>
      <c r="G256" s="1236"/>
      <c r="H256" s="1236"/>
      <c r="I256" s="1236"/>
      <c r="J256" s="1236"/>
      <c r="K256" s="1236"/>
      <c r="L256" s="1239"/>
      <c r="M256" s="1294"/>
      <c r="N256" s="571" t="s">
        <v>140</v>
      </c>
      <c r="O256" s="155"/>
      <c r="P256" s="591" t="str">
        <f>IFERROR(VLOOKUP(K254,【参考】数式用!$A$5:$J$27,MATCH(O256,【参考】数式用!$B$4:$J$4,0)+1,0),"")</f>
        <v/>
      </c>
      <c r="Q256" s="153"/>
      <c r="R256" s="572" t="str">
        <f>IFERROR(VLOOKUP(K254,【参考】数式用!$A$5:$J$27,MATCH(Q256,【参考】数式用!$B$4:$J$4,0)+1,0),"")</f>
        <v/>
      </c>
      <c r="S256" s="573" t="s">
        <v>19</v>
      </c>
      <c r="T256" s="574">
        <v>6</v>
      </c>
      <c r="U256" s="575" t="s">
        <v>10</v>
      </c>
      <c r="V256" s="110">
        <v>4</v>
      </c>
      <c r="W256" s="575" t="s">
        <v>45</v>
      </c>
      <c r="X256" s="574">
        <v>6</v>
      </c>
      <c r="Y256" s="575" t="s">
        <v>10</v>
      </c>
      <c r="Z256" s="110">
        <v>5</v>
      </c>
      <c r="AA256" s="575" t="s">
        <v>13</v>
      </c>
      <c r="AB256" s="576" t="s">
        <v>24</v>
      </c>
      <c r="AC256" s="577">
        <f t="shared" si="295"/>
        <v>2</v>
      </c>
      <c r="AD256" s="575" t="s">
        <v>38</v>
      </c>
      <c r="AE256" s="590" t="str">
        <f>IFERROR(ROUNDDOWN(ROUND(L254*R256,0)*M254,0)*AC256,"")</f>
        <v/>
      </c>
      <c r="AF256" s="579" t="str">
        <f>IFERROR(ROUNDDOWN(ROUND(L254*(R256-P256),0)*M254,0)*AC256,"")</f>
        <v/>
      </c>
      <c r="AG256" s="580">
        <f t="shared" si="336"/>
        <v>0</v>
      </c>
      <c r="AH256" s="459"/>
      <c r="AI256" s="460"/>
      <c r="AJ256" s="461"/>
      <c r="AK256" s="462"/>
      <c r="AL256" s="463"/>
      <c r="AM256" s="464"/>
      <c r="AN256" s="581" t="str">
        <f t="shared" ref="AN256" si="34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82" t="str">
        <f>IF(K254&lt;&gt;"","P列・R列に色付け","")</f>
        <v/>
      </c>
      <c r="AQ256" s="583"/>
      <c r="AR256" s="583"/>
      <c r="AX256" s="584"/>
      <c r="AY256" s="543" t="str">
        <f>G254</f>
        <v/>
      </c>
    </row>
    <row r="257" spans="1:51" ht="32.1" customHeight="1">
      <c r="A257" s="1225">
        <v>82</v>
      </c>
      <c r="B257" s="1222" t="str">
        <f>IF(基本情報入力シート!C135="","",基本情報入力シート!C135)</f>
        <v/>
      </c>
      <c r="C257" s="1222"/>
      <c r="D257" s="1222"/>
      <c r="E257" s="1222"/>
      <c r="F257" s="1222"/>
      <c r="G257" s="1234" t="str">
        <f>IF(基本情報入力シート!M135="","",基本情報入力シート!M135)</f>
        <v/>
      </c>
      <c r="H257" s="1234" t="str">
        <f>IF(基本情報入力シート!R135="","",基本情報入力シート!R135)</f>
        <v/>
      </c>
      <c r="I257" s="1234" t="str">
        <f>IF(基本情報入力シート!W135="","",基本情報入力シート!W135)</f>
        <v/>
      </c>
      <c r="J257" s="1234" t="str">
        <f>IF(基本情報入力シート!X135="","",基本情報入力シート!X135)</f>
        <v/>
      </c>
      <c r="K257" s="1234" t="str">
        <f>IF(基本情報入力シート!Y135="","",基本情報入力シート!Y135)</f>
        <v/>
      </c>
      <c r="L257" s="1237" t="str">
        <f>IF(基本情報入力シート!AB135="","",基本情報入力シート!AB135)</f>
        <v/>
      </c>
      <c r="M257" s="1292" t="str">
        <f>IF(基本情報入力シート!AC135="","",基本情報入力シート!AC135)</f>
        <v/>
      </c>
      <c r="N257" s="547" t="s">
        <v>183</v>
      </c>
      <c r="O257" s="151"/>
      <c r="P257" s="548" t="str">
        <f>IFERROR(VLOOKUP(K257,【参考】数式用!$A$5:$J$27,MATCH(O257,【参考】数式用!$B$4:$J$4,0)+1,0),"")</f>
        <v/>
      </c>
      <c r="Q257" s="151"/>
      <c r="R257" s="548" t="str">
        <f>IFERROR(VLOOKUP(K257,【参考】数式用!$A$5:$J$27,MATCH(Q257,【参考】数式用!$B$4:$J$4,0)+1,0),"")</f>
        <v/>
      </c>
      <c r="S257" s="549" t="s">
        <v>19</v>
      </c>
      <c r="T257" s="550">
        <v>6</v>
      </c>
      <c r="U257" s="202" t="s">
        <v>10</v>
      </c>
      <c r="V257" s="71">
        <v>4</v>
      </c>
      <c r="W257" s="202" t="s">
        <v>45</v>
      </c>
      <c r="X257" s="550">
        <v>6</v>
      </c>
      <c r="Y257" s="202" t="s">
        <v>10</v>
      </c>
      <c r="Z257" s="71">
        <v>5</v>
      </c>
      <c r="AA257" s="202" t="s">
        <v>13</v>
      </c>
      <c r="AB257" s="551" t="s">
        <v>24</v>
      </c>
      <c r="AC257" s="552">
        <f t="shared" si="295"/>
        <v>2</v>
      </c>
      <c r="AD257" s="202" t="s">
        <v>38</v>
      </c>
      <c r="AE257" s="553" t="str">
        <f>IFERROR(ROUNDDOWN(ROUND(L257*R257,0)*M257,0)*AC257,"")</f>
        <v/>
      </c>
      <c r="AF257" s="554" t="str">
        <f>IFERROR(ROUNDDOWN(ROUND(L257*(R257-P257),0)*M257,0)*AC257,"")</f>
        <v/>
      </c>
      <c r="AG257" s="555"/>
      <c r="AH257" s="465"/>
      <c r="AI257" s="473"/>
      <c r="AJ257" s="470"/>
      <c r="AK257" s="471"/>
      <c r="AL257" s="451"/>
      <c r="AM257" s="452"/>
      <c r="AN257" s="556" t="str">
        <f t="shared" ref="AN257" si="342">IF(AP257="","",IF(R257&lt;P257,"！加算の要件上は問題ありませんが、令和６年３月と比較して４・５月に加算率が下がる計画になっています。",""))</f>
        <v/>
      </c>
      <c r="AP257" s="557" t="str">
        <f>IF(K257&lt;&gt;"","P列・R列に色付け","")</f>
        <v/>
      </c>
      <c r="AQ257" s="558" t="str">
        <f>IFERROR(VLOOKUP(K257,【参考】数式用!$AJ$2:$AK$24,2,FALSE),"")</f>
        <v/>
      </c>
      <c r="AR257" s="560" t="str">
        <f>Q257&amp;Q258&amp;Q259</f>
        <v/>
      </c>
      <c r="AS257" s="558" t="str">
        <f t="shared" ref="AS257" si="343">IF(AG259&lt;&gt;0,IF(AH259="○","入力済","未入力"),"")</f>
        <v/>
      </c>
      <c r="AT257" s="559" t="str">
        <f>IF(OR(Q257="処遇加算Ⅰ",Q257="処遇加算Ⅱ"),IF(OR(AI257="○",AI257="令和６年度中に満たす"),"入力済","未入力"),"")</f>
        <v/>
      </c>
      <c r="AU257" s="560" t="str">
        <f>IF(Q257="処遇加算Ⅲ",IF(AJ257="○","入力済","未入力"),"")</f>
        <v/>
      </c>
      <c r="AV257" s="558" t="str">
        <f>IF(Q257="処遇加算Ⅰ",IF(OR(AK257="○",AK257="令和６年度中に満たす"),"入力済","未入力"),"")</f>
        <v/>
      </c>
      <c r="AW257" s="558"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43" t="str">
        <f>IF(Q258="特定加算Ⅰ",IF(AM258="","未入力","入力済"),"")</f>
        <v/>
      </c>
      <c r="AY257" s="543" t="str">
        <f>G257</f>
        <v/>
      </c>
    </row>
    <row r="258" spans="1:51" ht="32.1" customHeight="1">
      <c r="A258" s="1226"/>
      <c r="B258" s="1223"/>
      <c r="C258" s="1223"/>
      <c r="D258" s="1223"/>
      <c r="E258" s="1223"/>
      <c r="F258" s="1223"/>
      <c r="G258" s="1235"/>
      <c r="H258" s="1235"/>
      <c r="I258" s="1235"/>
      <c r="J258" s="1235"/>
      <c r="K258" s="1235"/>
      <c r="L258" s="1238"/>
      <c r="M258" s="1293"/>
      <c r="N258" s="561" t="s">
        <v>170</v>
      </c>
      <c r="O258" s="152"/>
      <c r="P258" s="562" t="str">
        <f>IFERROR(VLOOKUP(K257,【参考】数式用!$A$5:$J$27,MATCH(O258,【参考】数式用!$B$4:$J$4,0)+1,0),"")</f>
        <v/>
      </c>
      <c r="Q258" s="152"/>
      <c r="R258" s="562" t="str">
        <f>IFERROR(VLOOKUP(K257,【参考】数式用!$A$5:$J$27,MATCH(Q258,【参考】数式用!$B$4:$J$4,0)+1,0),"")</f>
        <v/>
      </c>
      <c r="S258" s="173" t="s">
        <v>19</v>
      </c>
      <c r="T258" s="563">
        <v>6</v>
      </c>
      <c r="U258" s="174" t="s">
        <v>10</v>
      </c>
      <c r="V258" s="109">
        <v>4</v>
      </c>
      <c r="W258" s="174" t="s">
        <v>45</v>
      </c>
      <c r="X258" s="563">
        <v>6</v>
      </c>
      <c r="Y258" s="174" t="s">
        <v>10</v>
      </c>
      <c r="Z258" s="109">
        <v>5</v>
      </c>
      <c r="AA258" s="174" t="s">
        <v>13</v>
      </c>
      <c r="AB258" s="564" t="s">
        <v>24</v>
      </c>
      <c r="AC258" s="565">
        <f t="shared" si="295"/>
        <v>2</v>
      </c>
      <c r="AD258" s="174" t="s">
        <v>38</v>
      </c>
      <c r="AE258" s="566" t="str">
        <f>IFERROR(ROUNDDOWN(ROUND(L257*R258,0)*M257,0)*AC258,"")</f>
        <v/>
      </c>
      <c r="AF258" s="567" t="str">
        <f>IFERROR(ROUNDDOWN(ROUND(L257*(R258-P258),0)*M257,0)*AC258,"")</f>
        <v/>
      </c>
      <c r="AG258" s="568"/>
      <c r="AH258" s="453"/>
      <c r="AI258" s="454"/>
      <c r="AJ258" s="455"/>
      <c r="AK258" s="456"/>
      <c r="AL258" s="457"/>
      <c r="AM258" s="458"/>
      <c r="AN258" s="569" t="str">
        <f t="shared" ref="AN258" si="344">IF(AP257="","",IF(OR(Z257=4,Z258=4,Z259=4),"！加算の要件上は問題ありませんが、算定期間の終わりが令和６年５月になっていません。区分変更の場合は、「基本情報入力シート」で同じ事業所を２行に分けて記入してください。",""))</f>
        <v/>
      </c>
      <c r="AO258" s="570"/>
      <c r="AP258" s="557" t="str">
        <f>IF(K257&lt;&gt;"","P列・R列に色付け","")</f>
        <v/>
      </c>
      <c r="AY258" s="543" t="str">
        <f>G257</f>
        <v/>
      </c>
    </row>
    <row r="259" spans="1:51" ht="32.1" customHeight="1" thickBot="1">
      <c r="A259" s="1227"/>
      <c r="B259" s="1224"/>
      <c r="C259" s="1224"/>
      <c r="D259" s="1224"/>
      <c r="E259" s="1224"/>
      <c r="F259" s="1224"/>
      <c r="G259" s="1236"/>
      <c r="H259" s="1236"/>
      <c r="I259" s="1236"/>
      <c r="J259" s="1236"/>
      <c r="K259" s="1236"/>
      <c r="L259" s="1239"/>
      <c r="M259" s="1294"/>
      <c r="N259" s="571" t="s">
        <v>140</v>
      </c>
      <c r="O259" s="155"/>
      <c r="P259" s="591" t="str">
        <f>IFERROR(VLOOKUP(K257,【参考】数式用!$A$5:$J$27,MATCH(O259,【参考】数式用!$B$4:$J$4,0)+1,0),"")</f>
        <v/>
      </c>
      <c r="Q259" s="153"/>
      <c r="R259" s="572" t="str">
        <f>IFERROR(VLOOKUP(K257,【参考】数式用!$A$5:$J$27,MATCH(Q259,【参考】数式用!$B$4:$J$4,0)+1,0),"")</f>
        <v/>
      </c>
      <c r="S259" s="573" t="s">
        <v>19</v>
      </c>
      <c r="T259" s="574">
        <v>6</v>
      </c>
      <c r="U259" s="575" t="s">
        <v>10</v>
      </c>
      <c r="V259" s="110">
        <v>4</v>
      </c>
      <c r="W259" s="575" t="s">
        <v>45</v>
      </c>
      <c r="X259" s="574">
        <v>6</v>
      </c>
      <c r="Y259" s="575" t="s">
        <v>10</v>
      </c>
      <c r="Z259" s="110">
        <v>5</v>
      </c>
      <c r="AA259" s="575" t="s">
        <v>13</v>
      </c>
      <c r="AB259" s="576" t="s">
        <v>24</v>
      </c>
      <c r="AC259" s="577">
        <f t="shared" si="295"/>
        <v>2</v>
      </c>
      <c r="AD259" s="575" t="s">
        <v>38</v>
      </c>
      <c r="AE259" s="590" t="str">
        <f>IFERROR(ROUNDDOWN(ROUND(L257*R259,0)*M257,0)*AC259,"")</f>
        <v/>
      </c>
      <c r="AF259" s="579" t="str">
        <f>IFERROR(ROUNDDOWN(ROUND(L257*(R259-P259),0)*M257,0)*AC259,"")</f>
        <v/>
      </c>
      <c r="AG259" s="580">
        <f t="shared" si="336"/>
        <v>0</v>
      </c>
      <c r="AH259" s="459"/>
      <c r="AI259" s="460"/>
      <c r="AJ259" s="461"/>
      <c r="AK259" s="462"/>
      <c r="AL259" s="463"/>
      <c r="AM259" s="464"/>
      <c r="AN259" s="581" t="str">
        <f t="shared" ref="AN259" si="345">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82" t="str">
        <f>IF(K257&lt;&gt;"","P列・R列に色付け","")</f>
        <v/>
      </c>
      <c r="AQ259" s="583"/>
      <c r="AR259" s="583"/>
      <c r="AX259" s="584"/>
      <c r="AY259" s="543" t="str">
        <f>G257</f>
        <v/>
      </c>
    </row>
    <row r="260" spans="1:51" ht="32.1" customHeight="1">
      <c r="A260" s="1225">
        <v>83</v>
      </c>
      <c r="B260" s="1222" t="str">
        <f>IF(基本情報入力シート!C136="","",基本情報入力シート!C136)</f>
        <v/>
      </c>
      <c r="C260" s="1222"/>
      <c r="D260" s="1222"/>
      <c r="E260" s="1222"/>
      <c r="F260" s="1222"/>
      <c r="G260" s="1234" t="str">
        <f>IF(基本情報入力シート!M136="","",基本情報入力シート!M136)</f>
        <v/>
      </c>
      <c r="H260" s="1234" t="str">
        <f>IF(基本情報入力シート!R136="","",基本情報入力シート!R136)</f>
        <v/>
      </c>
      <c r="I260" s="1234" t="str">
        <f>IF(基本情報入力シート!W136="","",基本情報入力シート!W136)</f>
        <v/>
      </c>
      <c r="J260" s="1234" t="str">
        <f>IF(基本情報入力シート!X136="","",基本情報入力シート!X136)</f>
        <v/>
      </c>
      <c r="K260" s="1234" t="str">
        <f>IF(基本情報入力シート!Y136="","",基本情報入力シート!Y136)</f>
        <v/>
      </c>
      <c r="L260" s="1237" t="str">
        <f>IF(基本情報入力シート!AB136="","",基本情報入力シート!AB136)</f>
        <v/>
      </c>
      <c r="M260" s="1292" t="str">
        <f>IF(基本情報入力シート!AC136="","",基本情報入力シート!AC136)</f>
        <v/>
      </c>
      <c r="N260" s="547" t="s">
        <v>183</v>
      </c>
      <c r="O260" s="151"/>
      <c r="P260" s="548" t="str">
        <f>IFERROR(VLOOKUP(K260,【参考】数式用!$A$5:$J$27,MATCH(O260,【参考】数式用!$B$4:$J$4,0)+1,0),"")</f>
        <v/>
      </c>
      <c r="Q260" s="151"/>
      <c r="R260" s="548" t="str">
        <f>IFERROR(VLOOKUP(K260,【参考】数式用!$A$5:$J$27,MATCH(Q260,【参考】数式用!$B$4:$J$4,0)+1,0),"")</f>
        <v/>
      </c>
      <c r="S260" s="549" t="s">
        <v>19</v>
      </c>
      <c r="T260" s="550">
        <v>6</v>
      </c>
      <c r="U260" s="202" t="s">
        <v>10</v>
      </c>
      <c r="V260" s="71">
        <v>4</v>
      </c>
      <c r="W260" s="202" t="s">
        <v>45</v>
      </c>
      <c r="X260" s="550">
        <v>6</v>
      </c>
      <c r="Y260" s="202" t="s">
        <v>10</v>
      </c>
      <c r="Z260" s="71">
        <v>5</v>
      </c>
      <c r="AA260" s="202" t="s">
        <v>13</v>
      </c>
      <c r="AB260" s="551" t="s">
        <v>24</v>
      </c>
      <c r="AC260" s="552">
        <f t="shared" si="295"/>
        <v>2</v>
      </c>
      <c r="AD260" s="202" t="s">
        <v>38</v>
      </c>
      <c r="AE260" s="553" t="str">
        <f>IFERROR(ROUNDDOWN(ROUND(L260*R260,0)*M260,0)*AC260,"")</f>
        <v/>
      </c>
      <c r="AF260" s="554" t="str">
        <f>IFERROR(ROUNDDOWN(ROUND(L260*(R260-P260),0)*M260,0)*AC260,"")</f>
        <v/>
      </c>
      <c r="AG260" s="555"/>
      <c r="AH260" s="465"/>
      <c r="AI260" s="473"/>
      <c r="AJ260" s="470"/>
      <c r="AK260" s="471"/>
      <c r="AL260" s="451"/>
      <c r="AM260" s="452"/>
      <c r="AN260" s="556" t="str">
        <f t="shared" ref="AN260" si="346">IF(AP260="","",IF(R260&lt;P260,"！加算の要件上は問題ありませんが、令和６年３月と比較して４・５月に加算率が下がる計画になっています。",""))</f>
        <v/>
      </c>
      <c r="AP260" s="557" t="str">
        <f>IF(K260&lt;&gt;"","P列・R列に色付け","")</f>
        <v/>
      </c>
      <c r="AQ260" s="558" t="str">
        <f>IFERROR(VLOOKUP(K260,【参考】数式用!$AJ$2:$AK$24,2,FALSE),"")</f>
        <v/>
      </c>
      <c r="AR260" s="560" t="str">
        <f>Q260&amp;Q261&amp;Q262</f>
        <v/>
      </c>
      <c r="AS260" s="558" t="str">
        <f t="shared" ref="AS260" si="347">IF(AG262&lt;&gt;0,IF(AH262="○","入力済","未入力"),"")</f>
        <v/>
      </c>
      <c r="AT260" s="559" t="str">
        <f>IF(OR(Q260="処遇加算Ⅰ",Q260="処遇加算Ⅱ"),IF(OR(AI260="○",AI260="令和６年度中に満たす"),"入力済","未入力"),"")</f>
        <v/>
      </c>
      <c r="AU260" s="560" t="str">
        <f>IF(Q260="処遇加算Ⅲ",IF(AJ260="○","入力済","未入力"),"")</f>
        <v/>
      </c>
      <c r="AV260" s="558" t="str">
        <f>IF(Q260="処遇加算Ⅰ",IF(OR(AK260="○",AK260="令和６年度中に満たす"),"入力済","未入力"),"")</f>
        <v/>
      </c>
      <c r="AW260" s="558"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43" t="str">
        <f>IF(Q261="特定加算Ⅰ",IF(AM261="","未入力","入力済"),"")</f>
        <v/>
      </c>
      <c r="AY260" s="543" t="str">
        <f>G260</f>
        <v/>
      </c>
    </row>
    <row r="261" spans="1:51" ht="32.1" customHeight="1">
      <c r="A261" s="1226"/>
      <c r="B261" s="1223"/>
      <c r="C261" s="1223"/>
      <c r="D261" s="1223"/>
      <c r="E261" s="1223"/>
      <c r="F261" s="1223"/>
      <c r="G261" s="1235"/>
      <c r="H261" s="1235"/>
      <c r="I261" s="1235"/>
      <c r="J261" s="1235"/>
      <c r="K261" s="1235"/>
      <c r="L261" s="1238"/>
      <c r="M261" s="1293"/>
      <c r="N261" s="561" t="s">
        <v>170</v>
      </c>
      <c r="O261" s="152"/>
      <c r="P261" s="562" t="str">
        <f>IFERROR(VLOOKUP(K260,【参考】数式用!$A$5:$J$27,MATCH(O261,【参考】数式用!$B$4:$J$4,0)+1,0),"")</f>
        <v/>
      </c>
      <c r="Q261" s="152"/>
      <c r="R261" s="562" t="str">
        <f>IFERROR(VLOOKUP(K260,【参考】数式用!$A$5:$J$27,MATCH(Q261,【参考】数式用!$B$4:$J$4,0)+1,0),"")</f>
        <v/>
      </c>
      <c r="S261" s="173" t="s">
        <v>19</v>
      </c>
      <c r="T261" s="563">
        <v>6</v>
      </c>
      <c r="U261" s="174" t="s">
        <v>10</v>
      </c>
      <c r="V261" s="109">
        <v>4</v>
      </c>
      <c r="W261" s="174" t="s">
        <v>45</v>
      </c>
      <c r="X261" s="563">
        <v>6</v>
      </c>
      <c r="Y261" s="174" t="s">
        <v>10</v>
      </c>
      <c r="Z261" s="109">
        <v>5</v>
      </c>
      <c r="AA261" s="174" t="s">
        <v>13</v>
      </c>
      <c r="AB261" s="564" t="s">
        <v>24</v>
      </c>
      <c r="AC261" s="565">
        <f t="shared" si="295"/>
        <v>2</v>
      </c>
      <c r="AD261" s="174" t="s">
        <v>38</v>
      </c>
      <c r="AE261" s="566" t="str">
        <f>IFERROR(ROUNDDOWN(ROUND(L260*R261,0)*M260,0)*AC261,"")</f>
        <v/>
      </c>
      <c r="AF261" s="567" t="str">
        <f>IFERROR(ROUNDDOWN(ROUND(L260*(R261-P261),0)*M260,0)*AC261,"")</f>
        <v/>
      </c>
      <c r="AG261" s="568"/>
      <c r="AH261" s="453"/>
      <c r="AI261" s="454"/>
      <c r="AJ261" s="455"/>
      <c r="AK261" s="456"/>
      <c r="AL261" s="457"/>
      <c r="AM261" s="458"/>
      <c r="AN261" s="569" t="str">
        <f t="shared" ref="AN261" si="348">IF(AP260="","",IF(OR(Z260=4,Z261=4,Z262=4),"！加算の要件上は問題ありませんが、算定期間の終わりが令和６年５月になっていません。区分変更の場合は、「基本情報入力シート」で同じ事業所を２行に分けて記入してください。",""))</f>
        <v/>
      </c>
      <c r="AO261" s="570"/>
      <c r="AP261" s="557" t="str">
        <f>IF(K260&lt;&gt;"","P列・R列に色付け","")</f>
        <v/>
      </c>
      <c r="AY261" s="543" t="str">
        <f>G260</f>
        <v/>
      </c>
    </row>
    <row r="262" spans="1:51" ht="32.1" customHeight="1" thickBot="1">
      <c r="A262" s="1227"/>
      <c r="B262" s="1224"/>
      <c r="C262" s="1224"/>
      <c r="D262" s="1224"/>
      <c r="E262" s="1224"/>
      <c r="F262" s="1224"/>
      <c r="G262" s="1236"/>
      <c r="H262" s="1236"/>
      <c r="I262" s="1236"/>
      <c r="J262" s="1236"/>
      <c r="K262" s="1236"/>
      <c r="L262" s="1239"/>
      <c r="M262" s="1294"/>
      <c r="N262" s="571" t="s">
        <v>140</v>
      </c>
      <c r="O262" s="155"/>
      <c r="P262" s="591" t="str">
        <f>IFERROR(VLOOKUP(K260,【参考】数式用!$A$5:$J$27,MATCH(O262,【参考】数式用!$B$4:$J$4,0)+1,0),"")</f>
        <v/>
      </c>
      <c r="Q262" s="153"/>
      <c r="R262" s="572" t="str">
        <f>IFERROR(VLOOKUP(K260,【参考】数式用!$A$5:$J$27,MATCH(Q262,【参考】数式用!$B$4:$J$4,0)+1,0),"")</f>
        <v/>
      </c>
      <c r="S262" s="573" t="s">
        <v>19</v>
      </c>
      <c r="T262" s="574">
        <v>6</v>
      </c>
      <c r="U262" s="575" t="s">
        <v>10</v>
      </c>
      <c r="V262" s="110">
        <v>4</v>
      </c>
      <c r="W262" s="575" t="s">
        <v>45</v>
      </c>
      <c r="X262" s="574">
        <v>6</v>
      </c>
      <c r="Y262" s="575" t="s">
        <v>10</v>
      </c>
      <c r="Z262" s="110">
        <v>5</v>
      </c>
      <c r="AA262" s="575" t="s">
        <v>13</v>
      </c>
      <c r="AB262" s="576" t="s">
        <v>24</v>
      </c>
      <c r="AC262" s="577">
        <f t="shared" si="295"/>
        <v>2</v>
      </c>
      <c r="AD262" s="575" t="s">
        <v>38</v>
      </c>
      <c r="AE262" s="590" t="str">
        <f>IFERROR(ROUNDDOWN(ROUND(L260*R262,0)*M260,0)*AC262,"")</f>
        <v/>
      </c>
      <c r="AF262" s="579" t="str">
        <f>IFERROR(ROUNDDOWN(ROUND(L260*(R262-P262),0)*M260,0)*AC262,"")</f>
        <v/>
      </c>
      <c r="AG262" s="580">
        <f t="shared" si="336"/>
        <v>0</v>
      </c>
      <c r="AH262" s="459"/>
      <c r="AI262" s="460"/>
      <c r="AJ262" s="461"/>
      <c r="AK262" s="462"/>
      <c r="AL262" s="463"/>
      <c r="AM262" s="464"/>
      <c r="AN262" s="581" t="str">
        <f t="shared" ref="AN262" si="349">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82" t="str">
        <f>IF(K260&lt;&gt;"","P列・R列に色付け","")</f>
        <v/>
      </c>
      <c r="AQ262" s="583"/>
      <c r="AR262" s="583"/>
      <c r="AX262" s="584"/>
      <c r="AY262" s="543" t="str">
        <f>G260</f>
        <v/>
      </c>
    </row>
    <row r="263" spans="1:51" ht="32.1" customHeight="1">
      <c r="A263" s="1225">
        <v>84</v>
      </c>
      <c r="B263" s="1222" t="str">
        <f>IF(基本情報入力シート!C137="","",基本情報入力シート!C137)</f>
        <v/>
      </c>
      <c r="C263" s="1222"/>
      <c r="D263" s="1222"/>
      <c r="E263" s="1222"/>
      <c r="F263" s="1222"/>
      <c r="G263" s="1234" t="str">
        <f>IF(基本情報入力シート!M137="","",基本情報入力シート!M137)</f>
        <v/>
      </c>
      <c r="H263" s="1234" t="str">
        <f>IF(基本情報入力シート!R137="","",基本情報入力シート!R137)</f>
        <v/>
      </c>
      <c r="I263" s="1234" t="str">
        <f>IF(基本情報入力シート!W137="","",基本情報入力シート!W137)</f>
        <v/>
      </c>
      <c r="J263" s="1234" t="str">
        <f>IF(基本情報入力シート!X137="","",基本情報入力シート!X137)</f>
        <v/>
      </c>
      <c r="K263" s="1234" t="str">
        <f>IF(基本情報入力シート!Y137="","",基本情報入力シート!Y137)</f>
        <v/>
      </c>
      <c r="L263" s="1237" t="str">
        <f>IF(基本情報入力シート!AB137="","",基本情報入力シート!AB137)</f>
        <v/>
      </c>
      <c r="M263" s="1292" t="str">
        <f>IF(基本情報入力シート!AC137="","",基本情報入力シート!AC137)</f>
        <v/>
      </c>
      <c r="N263" s="547" t="s">
        <v>183</v>
      </c>
      <c r="O263" s="151"/>
      <c r="P263" s="548" t="str">
        <f>IFERROR(VLOOKUP(K263,【参考】数式用!$A$5:$J$27,MATCH(O263,【参考】数式用!$B$4:$J$4,0)+1,0),"")</f>
        <v/>
      </c>
      <c r="Q263" s="151"/>
      <c r="R263" s="548" t="str">
        <f>IFERROR(VLOOKUP(K263,【参考】数式用!$A$5:$J$27,MATCH(Q263,【参考】数式用!$B$4:$J$4,0)+1,0),"")</f>
        <v/>
      </c>
      <c r="S263" s="549" t="s">
        <v>19</v>
      </c>
      <c r="T263" s="550">
        <v>6</v>
      </c>
      <c r="U263" s="202" t="s">
        <v>10</v>
      </c>
      <c r="V263" s="71">
        <v>4</v>
      </c>
      <c r="W263" s="202" t="s">
        <v>45</v>
      </c>
      <c r="X263" s="550">
        <v>6</v>
      </c>
      <c r="Y263" s="202" t="s">
        <v>10</v>
      </c>
      <c r="Z263" s="71">
        <v>5</v>
      </c>
      <c r="AA263" s="202" t="s">
        <v>13</v>
      </c>
      <c r="AB263" s="551" t="s">
        <v>24</v>
      </c>
      <c r="AC263" s="552">
        <f t="shared" si="295"/>
        <v>2</v>
      </c>
      <c r="AD263" s="202" t="s">
        <v>38</v>
      </c>
      <c r="AE263" s="553" t="str">
        <f>IFERROR(ROUNDDOWN(ROUND(L263*R263,0)*M263,0)*AC263,"")</f>
        <v/>
      </c>
      <c r="AF263" s="554" t="str">
        <f>IFERROR(ROUNDDOWN(ROUND(L263*(R263-P263),0)*M263,0)*AC263,"")</f>
        <v/>
      </c>
      <c r="AG263" s="555"/>
      <c r="AH263" s="465"/>
      <c r="AI263" s="473"/>
      <c r="AJ263" s="470"/>
      <c r="AK263" s="471"/>
      <c r="AL263" s="451"/>
      <c r="AM263" s="452"/>
      <c r="AN263" s="556" t="str">
        <f t="shared" ref="AN263" si="350">IF(AP263="","",IF(R263&lt;P263,"！加算の要件上は問題ありませんが、令和６年３月と比較して４・５月に加算率が下がる計画になっています。",""))</f>
        <v/>
      </c>
      <c r="AP263" s="557" t="str">
        <f>IF(K263&lt;&gt;"","P列・R列に色付け","")</f>
        <v/>
      </c>
      <c r="AQ263" s="558" t="str">
        <f>IFERROR(VLOOKUP(K263,【参考】数式用!$AJ$2:$AK$24,2,FALSE),"")</f>
        <v/>
      </c>
      <c r="AR263" s="560" t="str">
        <f>Q263&amp;Q264&amp;Q265</f>
        <v/>
      </c>
      <c r="AS263" s="558" t="str">
        <f t="shared" ref="AS263" si="351">IF(AG265&lt;&gt;0,IF(AH265="○","入力済","未入力"),"")</f>
        <v/>
      </c>
      <c r="AT263" s="559" t="str">
        <f>IF(OR(Q263="処遇加算Ⅰ",Q263="処遇加算Ⅱ"),IF(OR(AI263="○",AI263="令和６年度中に満たす"),"入力済","未入力"),"")</f>
        <v/>
      </c>
      <c r="AU263" s="560" t="str">
        <f>IF(Q263="処遇加算Ⅲ",IF(AJ263="○","入力済","未入力"),"")</f>
        <v/>
      </c>
      <c r="AV263" s="558" t="str">
        <f>IF(Q263="処遇加算Ⅰ",IF(OR(AK263="○",AK263="令和６年度中に満たす"),"入力済","未入力"),"")</f>
        <v/>
      </c>
      <c r="AW263" s="558"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43" t="str">
        <f>IF(Q264="特定加算Ⅰ",IF(AM264="","未入力","入力済"),"")</f>
        <v/>
      </c>
      <c r="AY263" s="543" t="str">
        <f>G263</f>
        <v/>
      </c>
    </row>
    <row r="264" spans="1:51" ht="32.1" customHeight="1">
      <c r="A264" s="1226"/>
      <c r="B264" s="1223"/>
      <c r="C264" s="1223"/>
      <c r="D264" s="1223"/>
      <c r="E264" s="1223"/>
      <c r="F264" s="1223"/>
      <c r="G264" s="1235"/>
      <c r="H264" s="1235"/>
      <c r="I264" s="1235"/>
      <c r="J264" s="1235"/>
      <c r="K264" s="1235"/>
      <c r="L264" s="1238"/>
      <c r="M264" s="1293"/>
      <c r="N264" s="561" t="s">
        <v>170</v>
      </c>
      <c r="O264" s="152"/>
      <c r="P264" s="562" t="str">
        <f>IFERROR(VLOOKUP(K263,【参考】数式用!$A$5:$J$27,MATCH(O264,【参考】数式用!$B$4:$J$4,0)+1,0),"")</f>
        <v/>
      </c>
      <c r="Q264" s="152"/>
      <c r="R264" s="562" t="str">
        <f>IFERROR(VLOOKUP(K263,【参考】数式用!$A$5:$J$27,MATCH(Q264,【参考】数式用!$B$4:$J$4,0)+1,0),"")</f>
        <v/>
      </c>
      <c r="S264" s="173" t="s">
        <v>19</v>
      </c>
      <c r="T264" s="563">
        <v>6</v>
      </c>
      <c r="U264" s="174" t="s">
        <v>10</v>
      </c>
      <c r="V264" s="109">
        <v>4</v>
      </c>
      <c r="W264" s="174" t="s">
        <v>45</v>
      </c>
      <c r="X264" s="563">
        <v>6</v>
      </c>
      <c r="Y264" s="174" t="s">
        <v>10</v>
      </c>
      <c r="Z264" s="109">
        <v>5</v>
      </c>
      <c r="AA264" s="174" t="s">
        <v>13</v>
      </c>
      <c r="AB264" s="564" t="s">
        <v>24</v>
      </c>
      <c r="AC264" s="565">
        <f t="shared" si="295"/>
        <v>2</v>
      </c>
      <c r="AD264" s="174" t="s">
        <v>38</v>
      </c>
      <c r="AE264" s="566" t="str">
        <f>IFERROR(ROUNDDOWN(ROUND(L263*R264,0)*M263,0)*AC264,"")</f>
        <v/>
      </c>
      <c r="AF264" s="567" t="str">
        <f>IFERROR(ROUNDDOWN(ROUND(L263*(R264-P264),0)*M263,0)*AC264,"")</f>
        <v/>
      </c>
      <c r="AG264" s="568"/>
      <c r="AH264" s="453"/>
      <c r="AI264" s="454"/>
      <c r="AJ264" s="455"/>
      <c r="AK264" s="456"/>
      <c r="AL264" s="457"/>
      <c r="AM264" s="458"/>
      <c r="AN264" s="569" t="str">
        <f t="shared" ref="AN264" si="352">IF(AP263="","",IF(OR(Z263=4,Z264=4,Z265=4),"！加算の要件上は問題ありませんが、算定期間の終わりが令和６年５月になっていません。区分変更の場合は、「基本情報入力シート」で同じ事業所を２行に分けて記入してください。",""))</f>
        <v/>
      </c>
      <c r="AO264" s="570"/>
      <c r="AP264" s="557" t="str">
        <f>IF(K263&lt;&gt;"","P列・R列に色付け","")</f>
        <v/>
      </c>
      <c r="AY264" s="543" t="str">
        <f>G263</f>
        <v/>
      </c>
    </row>
    <row r="265" spans="1:51" ht="32.1" customHeight="1" thickBot="1">
      <c r="A265" s="1227"/>
      <c r="B265" s="1224"/>
      <c r="C265" s="1224"/>
      <c r="D265" s="1224"/>
      <c r="E265" s="1224"/>
      <c r="F265" s="1224"/>
      <c r="G265" s="1236"/>
      <c r="H265" s="1236"/>
      <c r="I265" s="1236"/>
      <c r="J265" s="1236"/>
      <c r="K265" s="1236"/>
      <c r="L265" s="1239"/>
      <c r="M265" s="1294"/>
      <c r="N265" s="571" t="s">
        <v>140</v>
      </c>
      <c r="O265" s="155"/>
      <c r="P265" s="591" t="str">
        <f>IFERROR(VLOOKUP(K263,【参考】数式用!$A$5:$J$27,MATCH(O265,【参考】数式用!$B$4:$J$4,0)+1,0),"")</f>
        <v/>
      </c>
      <c r="Q265" s="153"/>
      <c r="R265" s="572" t="str">
        <f>IFERROR(VLOOKUP(K263,【参考】数式用!$A$5:$J$27,MATCH(Q265,【参考】数式用!$B$4:$J$4,0)+1,0),"")</f>
        <v/>
      </c>
      <c r="S265" s="573" t="s">
        <v>19</v>
      </c>
      <c r="T265" s="574">
        <v>6</v>
      </c>
      <c r="U265" s="575" t="s">
        <v>10</v>
      </c>
      <c r="V265" s="110">
        <v>4</v>
      </c>
      <c r="W265" s="575" t="s">
        <v>45</v>
      </c>
      <c r="X265" s="574">
        <v>6</v>
      </c>
      <c r="Y265" s="575" t="s">
        <v>10</v>
      </c>
      <c r="Z265" s="110">
        <v>5</v>
      </c>
      <c r="AA265" s="575" t="s">
        <v>13</v>
      </c>
      <c r="AB265" s="576" t="s">
        <v>24</v>
      </c>
      <c r="AC265" s="577">
        <f t="shared" si="295"/>
        <v>2</v>
      </c>
      <c r="AD265" s="575" t="s">
        <v>38</v>
      </c>
      <c r="AE265" s="590" t="str">
        <f>IFERROR(ROUNDDOWN(ROUND(L263*R265,0)*M263,0)*AC265,"")</f>
        <v/>
      </c>
      <c r="AF265" s="579" t="str">
        <f>IFERROR(ROUNDDOWN(ROUND(L263*(R265-P265),0)*M263,0)*AC265,"")</f>
        <v/>
      </c>
      <c r="AG265" s="580">
        <f t="shared" si="336"/>
        <v>0</v>
      </c>
      <c r="AH265" s="459"/>
      <c r="AI265" s="460"/>
      <c r="AJ265" s="461"/>
      <c r="AK265" s="462"/>
      <c r="AL265" s="463"/>
      <c r="AM265" s="464"/>
      <c r="AN265" s="581" t="str">
        <f t="shared" ref="AN265" si="353">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82" t="str">
        <f>IF(K263&lt;&gt;"","P列・R列に色付け","")</f>
        <v/>
      </c>
      <c r="AQ265" s="583"/>
      <c r="AR265" s="583"/>
      <c r="AX265" s="584"/>
      <c r="AY265" s="543" t="str">
        <f>G263</f>
        <v/>
      </c>
    </row>
    <row r="266" spans="1:51" ht="32.1" customHeight="1">
      <c r="A266" s="1225">
        <v>85</v>
      </c>
      <c r="B266" s="1222" t="str">
        <f>IF(基本情報入力シート!C138="","",基本情報入力シート!C138)</f>
        <v/>
      </c>
      <c r="C266" s="1222"/>
      <c r="D266" s="1222"/>
      <c r="E266" s="1222"/>
      <c r="F266" s="1222"/>
      <c r="G266" s="1234" t="str">
        <f>IF(基本情報入力シート!M138="","",基本情報入力シート!M138)</f>
        <v/>
      </c>
      <c r="H266" s="1234" t="str">
        <f>IF(基本情報入力シート!R138="","",基本情報入力シート!R138)</f>
        <v/>
      </c>
      <c r="I266" s="1234" t="str">
        <f>IF(基本情報入力シート!W138="","",基本情報入力シート!W138)</f>
        <v/>
      </c>
      <c r="J266" s="1234" t="str">
        <f>IF(基本情報入力シート!X138="","",基本情報入力シート!X138)</f>
        <v/>
      </c>
      <c r="K266" s="1234" t="str">
        <f>IF(基本情報入力シート!Y138="","",基本情報入力シート!Y138)</f>
        <v/>
      </c>
      <c r="L266" s="1237" t="str">
        <f>IF(基本情報入力シート!AB138="","",基本情報入力シート!AB138)</f>
        <v/>
      </c>
      <c r="M266" s="1292" t="str">
        <f>IF(基本情報入力シート!AC138="","",基本情報入力シート!AC138)</f>
        <v/>
      </c>
      <c r="N266" s="547" t="s">
        <v>183</v>
      </c>
      <c r="O266" s="151"/>
      <c r="P266" s="548" t="str">
        <f>IFERROR(VLOOKUP(K266,【参考】数式用!$A$5:$J$27,MATCH(O266,【参考】数式用!$B$4:$J$4,0)+1,0),"")</f>
        <v/>
      </c>
      <c r="Q266" s="151"/>
      <c r="R266" s="548" t="str">
        <f>IFERROR(VLOOKUP(K266,【参考】数式用!$A$5:$J$27,MATCH(Q266,【参考】数式用!$B$4:$J$4,0)+1,0),"")</f>
        <v/>
      </c>
      <c r="S266" s="549" t="s">
        <v>19</v>
      </c>
      <c r="T266" s="550">
        <v>6</v>
      </c>
      <c r="U266" s="202" t="s">
        <v>10</v>
      </c>
      <c r="V266" s="71">
        <v>4</v>
      </c>
      <c r="W266" s="202" t="s">
        <v>45</v>
      </c>
      <c r="X266" s="550">
        <v>6</v>
      </c>
      <c r="Y266" s="202" t="s">
        <v>10</v>
      </c>
      <c r="Z266" s="71">
        <v>5</v>
      </c>
      <c r="AA266" s="202" t="s">
        <v>13</v>
      </c>
      <c r="AB266" s="551" t="s">
        <v>24</v>
      </c>
      <c r="AC266" s="552">
        <f t="shared" si="295"/>
        <v>2</v>
      </c>
      <c r="AD266" s="202" t="s">
        <v>38</v>
      </c>
      <c r="AE266" s="553" t="str">
        <f>IFERROR(ROUNDDOWN(ROUND(L266*R266,0)*M266,0)*AC266,"")</f>
        <v/>
      </c>
      <c r="AF266" s="554" t="str">
        <f>IFERROR(ROUNDDOWN(ROUND(L266*(R266-P266),0)*M266,0)*AC266,"")</f>
        <v/>
      </c>
      <c r="AG266" s="555"/>
      <c r="AH266" s="465"/>
      <c r="AI266" s="473"/>
      <c r="AJ266" s="470"/>
      <c r="AK266" s="471"/>
      <c r="AL266" s="451"/>
      <c r="AM266" s="452"/>
      <c r="AN266" s="556" t="str">
        <f t="shared" ref="AN266" si="354">IF(AP266="","",IF(R266&lt;P266,"！加算の要件上は問題ありませんが、令和６年３月と比較して４・５月に加算率が下がる計画になっています。",""))</f>
        <v/>
      </c>
      <c r="AP266" s="557" t="str">
        <f>IF(K266&lt;&gt;"","P列・R列に色付け","")</f>
        <v/>
      </c>
      <c r="AQ266" s="558" t="str">
        <f>IFERROR(VLOOKUP(K266,【参考】数式用!$AJ$2:$AK$24,2,FALSE),"")</f>
        <v/>
      </c>
      <c r="AR266" s="560" t="str">
        <f>Q266&amp;Q267&amp;Q268</f>
        <v/>
      </c>
      <c r="AS266" s="558" t="str">
        <f t="shared" ref="AS266" si="355">IF(AG268&lt;&gt;0,IF(AH268="○","入力済","未入力"),"")</f>
        <v/>
      </c>
      <c r="AT266" s="559" t="str">
        <f>IF(OR(Q266="処遇加算Ⅰ",Q266="処遇加算Ⅱ"),IF(OR(AI266="○",AI266="令和６年度中に満たす"),"入力済","未入力"),"")</f>
        <v/>
      </c>
      <c r="AU266" s="560" t="str">
        <f>IF(Q266="処遇加算Ⅲ",IF(AJ266="○","入力済","未入力"),"")</f>
        <v/>
      </c>
      <c r="AV266" s="558" t="str">
        <f>IF(Q266="処遇加算Ⅰ",IF(OR(AK266="○",AK266="令和６年度中に満たす"),"入力済","未入力"),"")</f>
        <v/>
      </c>
      <c r="AW266" s="558"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43" t="str">
        <f>IF(Q267="特定加算Ⅰ",IF(AM267="","未入力","入力済"),"")</f>
        <v/>
      </c>
      <c r="AY266" s="543" t="str">
        <f>G266</f>
        <v/>
      </c>
    </row>
    <row r="267" spans="1:51" ht="32.1" customHeight="1">
      <c r="A267" s="1226"/>
      <c r="B267" s="1223"/>
      <c r="C267" s="1223"/>
      <c r="D267" s="1223"/>
      <c r="E267" s="1223"/>
      <c r="F267" s="1223"/>
      <c r="G267" s="1235"/>
      <c r="H267" s="1235"/>
      <c r="I267" s="1235"/>
      <c r="J267" s="1235"/>
      <c r="K267" s="1235"/>
      <c r="L267" s="1238"/>
      <c r="M267" s="1293"/>
      <c r="N267" s="561" t="s">
        <v>170</v>
      </c>
      <c r="O267" s="152"/>
      <c r="P267" s="562" t="str">
        <f>IFERROR(VLOOKUP(K266,【参考】数式用!$A$5:$J$27,MATCH(O267,【参考】数式用!$B$4:$J$4,0)+1,0),"")</f>
        <v/>
      </c>
      <c r="Q267" s="152"/>
      <c r="R267" s="562" t="str">
        <f>IFERROR(VLOOKUP(K266,【参考】数式用!$A$5:$J$27,MATCH(Q267,【参考】数式用!$B$4:$J$4,0)+1,0),"")</f>
        <v/>
      </c>
      <c r="S267" s="173" t="s">
        <v>19</v>
      </c>
      <c r="T267" s="563">
        <v>6</v>
      </c>
      <c r="U267" s="174" t="s">
        <v>10</v>
      </c>
      <c r="V267" s="109">
        <v>4</v>
      </c>
      <c r="W267" s="174" t="s">
        <v>45</v>
      </c>
      <c r="X267" s="563">
        <v>6</v>
      </c>
      <c r="Y267" s="174" t="s">
        <v>10</v>
      </c>
      <c r="Z267" s="109">
        <v>5</v>
      </c>
      <c r="AA267" s="174" t="s">
        <v>13</v>
      </c>
      <c r="AB267" s="564" t="s">
        <v>24</v>
      </c>
      <c r="AC267" s="565">
        <f t="shared" si="295"/>
        <v>2</v>
      </c>
      <c r="AD267" s="174" t="s">
        <v>38</v>
      </c>
      <c r="AE267" s="566" t="str">
        <f>IFERROR(ROUNDDOWN(ROUND(L266*R267,0)*M266,0)*AC267,"")</f>
        <v/>
      </c>
      <c r="AF267" s="567" t="str">
        <f>IFERROR(ROUNDDOWN(ROUND(L266*(R267-P267),0)*M266,0)*AC267,"")</f>
        <v/>
      </c>
      <c r="AG267" s="568"/>
      <c r="AH267" s="453"/>
      <c r="AI267" s="454"/>
      <c r="AJ267" s="455"/>
      <c r="AK267" s="456"/>
      <c r="AL267" s="457"/>
      <c r="AM267" s="458"/>
      <c r="AN267" s="569" t="str">
        <f t="shared" ref="AN267" si="356">IF(AP266="","",IF(OR(Z266=4,Z267=4,Z268=4),"！加算の要件上は問題ありませんが、算定期間の終わりが令和６年５月になっていません。区分変更の場合は、「基本情報入力シート」で同じ事業所を２行に分けて記入してください。",""))</f>
        <v/>
      </c>
      <c r="AO267" s="570"/>
      <c r="AP267" s="557" t="str">
        <f>IF(K266&lt;&gt;"","P列・R列に色付け","")</f>
        <v/>
      </c>
      <c r="AY267" s="543" t="str">
        <f>G266</f>
        <v/>
      </c>
    </row>
    <row r="268" spans="1:51" ht="32.1" customHeight="1" thickBot="1">
      <c r="A268" s="1227"/>
      <c r="B268" s="1224"/>
      <c r="C268" s="1224"/>
      <c r="D268" s="1224"/>
      <c r="E268" s="1224"/>
      <c r="F268" s="1224"/>
      <c r="G268" s="1236"/>
      <c r="H268" s="1236"/>
      <c r="I268" s="1236"/>
      <c r="J268" s="1236"/>
      <c r="K268" s="1236"/>
      <c r="L268" s="1239"/>
      <c r="M268" s="1294"/>
      <c r="N268" s="571" t="s">
        <v>140</v>
      </c>
      <c r="O268" s="155"/>
      <c r="P268" s="591" t="str">
        <f>IFERROR(VLOOKUP(K266,【参考】数式用!$A$5:$J$27,MATCH(O268,【参考】数式用!$B$4:$J$4,0)+1,0),"")</f>
        <v/>
      </c>
      <c r="Q268" s="153"/>
      <c r="R268" s="572" t="str">
        <f>IFERROR(VLOOKUP(K266,【参考】数式用!$A$5:$J$27,MATCH(Q268,【参考】数式用!$B$4:$J$4,0)+1,0),"")</f>
        <v/>
      </c>
      <c r="S268" s="573" t="s">
        <v>19</v>
      </c>
      <c r="T268" s="574">
        <v>6</v>
      </c>
      <c r="U268" s="575" t="s">
        <v>10</v>
      </c>
      <c r="V268" s="110">
        <v>4</v>
      </c>
      <c r="W268" s="575" t="s">
        <v>45</v>
      </c>
      <c r="X268" s="574">
        <v>6</v>
      </c>
      <c r="Y268" s="575" t="s">
        <v>10</v>
      </c>
      <c r="Z268" s="110">
        <v>5</v>
      </c>
      <c r="AA268" s="575" t="s">
        <v>13</v>
      </c>
      <c r="AB268" s="576" t="s">
        <v>24</v>
      </c>
      <c r="AC268" s="577">
        <f t="shared" si="295"/>
        <v>2</v>
      </c>
      <c r="AD268" s="575" t="s">
        <v>38</v>
      </c>
      <c r="AE268" s="590" t="str">
        <f>IFERROR(ROUNDDOWN(ROUND(L266*R268,0)*M266,0)*AC268,"")</f>
        <v/>
      </c>
      <c r="AF268" s="579" t="str">
        <f>IFERROR(ROUNDDOWN(ROUND(L266*(R268-P268),0)*M266,0)*AC268,"")</f>
        <v/>
      </c>
      <c r="AG268" s="580">
        <f t="shared" si="336"/>
        <v>0</v>
      </c>
      <c r="AH268" s="459"/>
      <c r="AI268" s="460"/>
      <c r="AJ268" s="461"/>
      <c r="AK268" s="462"/>
      <c r="AL268" s="463"/>
      <c r="AM268" s="464"/>
      <c r="AN268" s="581" t="str">
        <f t="shared" ref="AN268" si="357">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82" t="str">
        <f>IF(K266&lt;&gt;"","P列・R列に色付け","")</f>
        <v/>
      </c>
      <c r="AQ268" s="583"/>
      <c r="AR268" s="583"/>
      <c r="AX268" s="584"/>
      <c r="AY268" s="543" t="str">
        <f>G266</f>
        <v/>
      </c>
    </row>
    <row r="269" spans="1:51" ht="32.1" customHeight="1">
      <c r="A269" s="1225">
        <v>86</v>
      </c>
      <c r="B269" s="1222" t="str">
        <f>IF(基本情報入力シート!C139="","",基本情報入力シート!C139)</f>
        <v/>
      </c>
      <c r="C269" s="1222"/>
      <c r="D269" s="1222"/>
      <c r="E269" s="1222"/>
      <c r="F269" s="1222"/>
      <c r="G269" s="1234" t="str">
        <f>IF(基本情報入力シート!M139="","",基本情報入力シート!M139)</f>
        <v/>
      </c>
      <c r="H269" s="1234" t="str">
        <f>IF(基本情報入力シート!R139="","",基本情報入力シート!R139)</f>
        <v/>
      </c>
      <c r="I269" s="1234" t="str">
        <f>IF(基本情報入力シート!W139="","",基本情報入力シート!W139)</f>
        <v/>
      </c>
      <c r="J269" s="1234" t="str">
        <f>IF(基本情報入力シート!X139="","",基本情報入力シート!X139)</f>
        <v/>
      </c>
      <c r="K269" s="1234" t="str">
        <f>IF(基本情報入力シート!Y139="","",基本情報入力シート!Y139)</f>
        <v/>
      </c>
      <c r="L269" s="1237" t="str">
        <f>IF(基本情報入力シート!AB139="","",基本情報入力シート!AB139)</f>
        <v/>
      </c>
      <c r="M269" s="1292" t="str">
        <f>IF(基本情報入力シート!AC139="","",基本情報入力シート!AC139)</f>
        <v/>
      </c>
      <c r="N269" s="547" t="s">
        <v>183</v>
      </c>
      <c r="O269" s="151"/>
      <c r="P269" s="548" t="str">
        <f>IFERROR(VLOOKUP(K269,【参考】数式用!$A$5:$J$27,MATCH(O269,【参考】数式用!$B$4:$J$4,0)+1,0),"")</f>
        <v/>
      </c>
      <c r="Q269" s="151"/>
      <c r="R269" s="548" t="str">
        <f>IFERROR(VLOOKUP(K269,【参考】数式用!$A$5:$J$27,MATCH(Q269,【参考】数式用!$B$4:$J$4,0)+1,0),"")</f>
        <v/>
      </c>
      <c r="S269" s="549" t="s">
        <v>19</v>
      </c>
      <c r="T269" s="550">
        <v>6</v>
      </c>
      <c r="U269" s="202" t="s">
        <v>10</v>
      </c>
      <c r="V269" s="71">
        <v>4</v>
      </c>
      <c r="W269" s="202" t="s">
        <v>45</v>
      </c>
      <c r="X269" s="550">
        <v>6</v>
      </c>
      <c r="Y269" s="202" t="s">
        <v>10</v>
      </c>
      <c r="Z269" s="71">
        <v>5</v>
      </c>
      <c r="AA269" s="202" t="s">
        <v>13</v>
      </c>
      <c r="AB269" s="551" t="s">
        <v>24</v>
      </c>
      <c r="AC269" s="552">
        <f t="shared" si="295"/>
        <v>2</v>
      </c>
      <c r="AD269" s="202" t="s">
        <v>38</v>
      </c>
      <c r="AE269" s="553" t="str">
        <f>IFERROR(ROUNDDOWN(ROUND(L269*R269,0)*M269,0)*AC269,"")</f>
        <v/>
      </c>
      <c r="AF269" s="554" t="str">
        <f>IFERROR(ROUNDDOWN(ROUND(L269*(R269-P269),0)*M269,0)*AC269,"")</f>
        <v/>
      </c>
      <c r="AG269" s="555"/>
      <c r="AH269" s="465"/>
      <c r="AI269" s="473"/>
      <c r="AJ269" s="470"/>
      <c r="AK269" s="471"/>
      <c r="AL269" s="451"/>
      <c r="AM269" s="452"/>
      <c r="AN269" s="556" t="str">
        <f t="shared" ref="AN269" si="358">IF(AP269="","",IF(R269&lt;P269,"！加算の要件上は問題ありませんが、令和６年３月と比較して４・５月に加算率が下がる計画になっています。",""))</f>
        <v/>
      </c>
      <c r="AP269" s="557" t="str">
        <f>IF(K269&lt;&gt;"","P列・R列に色付け","")</f>
        <v/>
      </c>
      <c r="AQ269" s="558" t="str">
        <f>IFERROR(VLOOKUP(K269,【参考】数式用!$AJ$2:$AK$24,2,FALSE),"")</f>
        <v/>
      </c>
      <c r="AR269" s="560" t="str">
        <f>Q269&amp;Q270&amp;Q271</f>
        <v/>
      </c>
      <c r="AS269" s="558" t="str">
        <f t="shared" ref="AS269" si="359">IF(AG271&lt;&gt;0,IF(AH271="○","入力済","未入力"),"")</f>
        <v/>
      </c>
      <c r="AT269" s="559" t="str">
        <f>IF(OR(Q269="処遇加算Ⅰ",Q269="処遇加算Ⅱ"),IF(OR(AI269="○",AI269="令和６年度中に満たす"),"入力済","未入力"),"")</f>
        <v/>
      </c>
      <c r="AU269" s="560" t="str">
        <f>IF(Q269="処遇加算Ⅲ",IF(AJ269="○","入力済","未入力"),"")</f>
        <v/>
      </c>
      <c r="AV269" s="558" t="str">
        <f>IF(Q269="処遇加算Ⅰ",IF(OR(AK269="○",AK269="令和６年度中に満たす"),"入力済","未入力"),"")</f>
        <v/>
      </c>
      <c r="AW269" s="558"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43" t="str">
        <f>IF(Q270="特定加算Ⅰ",IF(AM270="","未入力","入力済"),"")</f>
        <v/>
      </c>
      <c r="AY269" s="543" t="str">
        <f>G269</f>
        <v/>
      </c>
    </row>
    <row r="270" spans="1:51" ht="32.1" customHeight="1">
      <c r="A270" s="1226"/>
      <c r="B270" s="1223"/>
      <c r="C270" s="1223"/>
      <c r="D270" s="1223"/>
      <c r="E270" s="1223"/>
      <c r="F270" s="1223"/>
      <c r="G270" s="1235"/>
      <c r="H270" s="1235"/>
      <c r="I270" s="1235"/>
      <c r="J270" s="1235"/>
      <c r="K270" s="1235"/>
      <c r="L270" s="1238"/>
      <c r="M270" s="1293"/>
      <c r="N270" s="561" t="s">
        <v>170</v>
      </c>
      <c r="O270" s="152"/>
      <c r="P270" s="562" t="str">
        <f>IFERROR(VLOOKUP(K269,【参考】数式用!$A$5:$J$27,MATCH(O270,【参考】数式用!$B$4:$J$4,0)+1,0),"")</f>
        <v/>
      </c>
      <c r="Q270" s="152"/>
      <c r="R270" s="562" t="str">
        <f>IFERROR(VLOOKUP(K269,【参考】数式用!$A$5:$J$27,MATCH(Q270,【参考】数式用!$B$4:$J$4,0)+1,0),"")</f>
        <v/>
      </c>
      <c r="S270" s="173" t="s">
        <v>19</v>
      </c>
      <c r="T270" s="563">
        <v>6</v>
      </c>
      <c r="U270" s="174" t="s">
        <v>10</v>
      </c>
      <c r="V270" s="109">
        <v>4</v>
      </c>
      <c r="W270" s="174" t="s">
        <v>45</v>
      </c>
      <c r="X270" s="563">
        <v>6</v>
      </c>
      <c r="Y270" s="174" t="s">
        <v>10</v>
      </c>
      <c r="Z270" s="109">
        <v>5</v>
      </c>
      <c r="AA270" s="174" t="s">
        <v>13</v>
      </c>
      <c r="AB270" s="564" t="s">
        <v>24</v>
      </c>
      <c r="AC270" s="565">
        <f t="shared" si="295"/>
        <v>2</v>
      </c>
      <c r="AD270" s="174" t="s">
        <v>38</v>
      </c>
      <c r="AE270" s="566" t="str">
        <f>IFERROR(ROUNDDOWN(ROUND(L269*R270,0)*M269,0)*AC270,"")</f>
        <v/>
      </c>
      <c r="AF270" s="567" t="str">
        <f>IFERROR(ROUNDDOWN(ROUND(L269*(R270-P270),0)*M269,0)*AC270,"")</f>
        <v/>
      </c>
      <c r="AG270" s="568"/>
      <c r="AH270" s="453"/>
      <c r="AI270" s="454"/>
      <c r="AJ270" s="455"/>
      <c r="AK270" s="456"/>
      <c r="AL270" s="457"/>
      <c r="AM270" s="458"/>
      <c r="AN270" s="569" t="str">
        <f t="shared" ref="AN270" si="360">IF(AP269="","",IF(OR(Z269=4,Z270=4,Z271=4),"！加算の要件上は問題ありませんが、算定期間の終わりが令和６年５月になっていません。区分変更の場合は、「基本情報入力シート」で同じ事業所を２行に分けて記入してください。",""))</f>
        <v/>
      </c>
      <c r="AO270" s="570"/>
      <c r="AP270" s="557" t="str">
        <f>IF(K269&lt;&gt;"","P列・R列に色付け","")</f>
        <v/>
      </c>
      <c r="AY270" s="543" t="str">
        <f>G269</f>
        <v/>
      </c>
    </row>
    <row r="271" spans="1:51" ht="32.1" customHeight="1" thickBot="1">
      <c r="A271" s="1227"/>
      <c r="B271" s="1224"/>
      <c r="C271" s="1224"/>
      <c r="D271" s="1224"/>
      <c r="E271" s="1224"/>
      <c r="F271" s="1224"/>
      <c r="G271" s="1236"/>
      <c r="H271" s="1236"/>
      <c r="I271" s="1236"/>
      <c r="J271" s="1236"/>
      <c r="K271" s="1236"/>
      <c r="L271" s="1239"/>
      <c r="M271" s="1294"/>
      <c r="N271" s="571" t="s">
        <v>140</v>
      </c>
      <c r="O271" s="155"/>
      <c r="P271" s="591" t="str">
        <f>IFERROR(VLOOKUP(K269,【参考】数式用!$A$5:$J$27,MATCH(O271,【参考】数式用!$B$4:$J$4,0)+1,0),"")</f>
        <v/>
      </c>
      <c r="Q271" s="153"/>
      <c r="R271" s="572" t="str">
        <f>IFERROR(VLOOKUP(K269,【参考】数式用!$A$5:$J$27,MATCH(Q271,【参考】数式用!$B$4:$J$4,0)+1,0),"")</f>
        <v/>
      </c>
      <c r="S271" s="573" t="s">
        <v>19</v>
      </c>
      <c r="T271" s="574">
        <v>6</v>
      </c>
      <c r="U271" s="575" t="s">
        <v>10</v>
      </c>
      <c r="V271" s="110">
        <v>4</v>
      </c>
      <c r="W271" s="575" t="s">
        <v>45</v>
      </c>
      <c r="X271" s="574">
        <v>6</v>
      </c>
      <c r="Y271" s="575" t="s">
        <v>10</v>
      </c>
      <c r="Z271" s="110">
        <v>5</v>
      </c>
      <c r="AA271" s="575" t="s">
        <v>13</v>
      </c>
      <c r="AB271" s="576" t="s">
        <v>24</v>
      </c>
      <c r="AC271" s="577">
        <f t="shared" si="295"/>
        <v>2</v>
      </c>
      <c r="AD271" s="575" t="s">
        <v>38</v>
      </c>
      <c r="AE271" s="590" t="str">
        <f>IFERROR(ROUNDDOWN(ROUND(L269*R271,0)*M269,0)*AC271,"")</f>
        <v/>
      </c>
      <c r="AF271" s="579" t="str">
        <f>IFERROR(ROUNDDOWN(ROUND(L269*(R271-P271),0)*M269,0)*AC271,"")</f>
        <v/>
      </c>
      <c r="AG271" s="580">
        <f t="shared" si="336"/>
        <v>0</v>
      </c>
      <c r="AH271" s="459"/>
      <c r="AI271" s="460"/>
      <c r="AJ271" s="461"/>
      <c r="AK271" s="462"/>
      <c r="AL271" s="463"/>
      <c r="AM271" s="464"/>
      <c r="AN271" s="581" t="str">
        <f t="shared" ref="AN271" si="361">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82" t="str">
        <f>IF(K269&lt;&gt;"","P列・R列に色付け","")</f>
        <v/>
      </c>
      <c r="AQ271" s="583"/>
      <c r="AR271" s="583"/>
      <c r="AX271" s="584"/>
      <c r="AY271" s="543" t="str">
        <f>G269</f>
        <v/>
      </c>
    </row>
    <row r="272" spans="1:51" ht="32.1" customHeight="1">
      <c r="A272" s="1225">
        <v>87</v>
      </c>
      <c r="B272" s="1222" t="str">
        <f>IF(基本情報入力シート!C140="","",基本情報入力シート!C140)</f>
        <v/>
      </c>
      <c r="C272" s="1222"/>
      <c r="D272" s="1222"/>
      <c r="E272" s="1222"/>
      <c r="F272" s="1222"/>
      <c r="G272" s="1234" t="str">
        <f>IF(基本情報入力シート!M140="","",基本情報入力シート!M140)</f>
        <v/>
      </c>
      <c r="H272" s="1234" t="str">
        <f>IF(基本情報入力シート!R140="","",基本情報入力シート!R140)</f>
        <v/>
      </c>
      <c r="I272" s="1234" t="str">
        <f>IF(基本情報入力シート!W140="","",基本情報入力シート!W140)</f>
        <v/>
      </c>
      <c r="J272" s="1234" t="str">
        <f>IF(基本情報入力シート!X140="","",基本情報入力シート!X140)</f>
        <v/>
      </c>
      <c r="K272" s="1234" t="str">
        <f>IF(基本情報入力シート!Y140="","",基本情報入力シート!Y140)</f>
        <v/>
      </c>
      <c r="L272" s="1237" t="str">
        <f>IF(基本情報入力シート!AB140="","",基本情報入力シート!AB140)</f>
        <v/>
      </c>
      <c r="M272" s="1292" t="str">
        <f>IF(基本情報入力シート!AC140="","",基本情報入力シート!AC140)</f>
        <v/>
      </c>
      <c r="N272" s="547" t="s">
        <v>183</v>
      </c>
      <c r="O272" s="151"/>
      <c r="P272" s="548" t="str">
        <f>IFERROR(VLOOKUP(K272,【参考】数式用!$A$5:$J$27,MATCH(O272,【参考】数式用!$B$4:$J$4,0)+1,0),"")</f>
        <v/>
      </c>
      <c r="Q272" s="151"/>
      <c r="R272" s="548" t="str">
        <f>IFERROR(VLOOKUP(K272,【参考】数式用!$A$5:$J$27,MATCH(Q272,【参考】数式用!$B$4:$J$4,0)+1,0),"")</f>
        <v/>
      </c>
      <c r="S272" s="549" t="s">
        <v>19</v>
      </c>
      <c r="T272" s="550">
        <v>6</v>
      </c>
      <c r="U272" s="202" t="s">
        <v>10</v>
      </c>
      <c r="V272" s="71">
        <v>4</v>
      </c>
      <c r="W272" s="202" t="s">
        <v>45</v>
      </c>
      <c r="X272" s="550">
        <v>6</v>
      </c>
      <c r="Y272" s="202" t="s">
        <v>10</v>
      </c>
      <c r="Z272" s="71">
        <v>5</v>
      </c>
      <c r="AA272" s="202" t="s">
        <v>13</v>
      </c>
      <c r="AB272" s="551" t="s">
        <v>24</v>
      </c>
      <c r="AC272" s="552">
        <f t="shared" si="295"/>
        <v>2</v>
      </c>
      <c r="AD272" s="202" t="s">
        <v>38</v>
      </c>
      <c r="AE272" s="553" t="str">
        <f>IFERROR(ROUNDDOWN(ROUND(L272*R272,0)*M272,0)*AC272,"")</f>
        <v/>
      </c>
      <c r="AF272" s="554" t="str">
        <f>IFERROR(ROUNDDOWN(ROUND(L272*(R272-P272),0)*M272,0)*AC272,"")</f>
        <v/>
      </c>
      <c r="AG272" s="555"/>
      <c r="AH272" s="465"/>
      <c r="AI272" s="473"/>
      <c r="AJ272" s="470"/>
      <c r="AK272" s="471"/>
      <c r="AL272" s="451"/>
      <c r="AM272" s="452"/>
      <c r="AN272" s="556" t="str">
        <f t="shared" ref="AN272" si="362">IF(AP272="","",IF(R272&lt;P272,"！加算の要件上は問題ありませんが、令和６年３月と比較して４・５月に加算率が下がる計画になっています。",""))</f>
        <v/>
      </c>
      <c r="AP272" s="557" t="str">
        <f>IF(K272&lt;&gt;"","P列・R列に色付け","")</f>
        <v/>
      </c>
      <c r="AQ272" s="558" t="str">
        <f>IFERROR(VLOOKUP(K272,【参考】数式用!$AJ$2:$AK$24,2,FALSE),"")</f>
        <v/>
      </c>
      <c r="AR272" s="560" t="str">
        <f>Q272&amp;Q273&amp;Q274</f>
        <v/>
      </c>
      <c r="AS272" s="558" t="str">
        <f t="shared" ref="AS272" si="363">IF(AG274&lt;&gt;0,IF(AH274="○","入力済","未入力"),"")</f>
        <v/>
      </c>
      <c r="AT272" s="559" t="str">
        <f>IF(OR(Q272="処遇加算Ⅰ",Q272="処遇加算Ⅱ"),IF(OR(AI272="○",AI272="令和６年度中に満たす"),"入力済","未入力"),"")</f>
        <v/>
      </c>
      <c r="AU272" s="560" t="str">
        <f>IF(Q272="処遇加算Ⅲ",IF(AJ272="○","入力済","未入力"),"")</f>
        <v/>
      </c>
      <c r="AV272" s="558" t="str">
        <f>IF(Q272="処遇加算Ⅰ",IF(OR(AK272="○",AK272="令和６年度中に満たす"),"入力済","未入力"),"")</f>
        <v/>
      </c>
      <c r="AW272" s="558"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43" t="str">
        <f>IF(Q273="特定加算Ⅰ",IF(AM273="","未入力","入力済"),"")</f>
        <v/>
      </c>
      <c r="AY272" s="543" t="str">
        <f>G272</f>
        <v/>
      </c>
    </row>
    <row r="273" spans="1:51" ht="32.1" customHeight="1">
      <c r="A273" s="1226"/>
      <c r="B273" s="1223"/>
      <c r="C273" s="1223"/>
      <c r="D273" s="1223"/>
      <c r="E273" s="1223"/>
      <c r="F273" s="1223"/>
      <c r="G273" s="1235"/>
      <c r="H273" s="1235"/>
      <c r="I273" s="1235"/>
      <c r="J273" s="1235"/>
      <c r="K273" s="1235"/>
      <c r="L273" s="1238"/>
      <c r="M273" s="1293"/>
      <c r="N273" s="561" t="s">
        <v>170</v>
      </c>
      <c r="O273" s="152"/>
      <c r="P273" s="562" t="str">
        <f>IFERROR(VLOOKUP(K272,【参考】数式用!$A$5:$J$27,MATCH(O273,【参考】数式用!$B$4:$J$4,0)+1,0),"")</f>
        <v/>
      </c>
      <c r="Q273" s="152"/>
      <c r="R273" s="562" t="str">
        <f>IFERROR(VLOOKUP(K272,【参考】数式用!$A$5:$J$27,MATCH(Q273,【参考】数式用!$B$4:$J$4,0)+1,0),"")</f>
        <v/>
      </c>
      <c r="S273" s="173" t="s">
        <v>19</v>
      </c>
      <c r="T273" s="563">
        <v>6</v>
      </c>
      <c r="U273" s="174" t="s">
        <v>10</v>
      </c>
      <c r="V273" s="109">
        <v>4</v>
      </c>
      <c r="W273" s="174" t="s">
        <v>45</v>
      </c>
      <c r="X273" s="563">
        <v>6</v>
      </c>
      <c r="Y273" s="174" t="s">
        <v>10</v>
      </c>
      <c r="Z273" s="109">
        <v>5</v>
      </c>
      <c r="AA273" s="174" t="s">
        <v>13</v>
      </c>
      <c r="AB273" s="564" t="s">
        <v>24</v>
      </c>
      <c r="AC273" s="565">
        <f t="shared" si="295"/>
        <v>2</v>
      </c>
      <c r="AD273" s="174" t="s">
        <v>38</v>
      </c>
      <c r="AE273" s="566" t="str">
        <f>IFERROR(ROUNDDOWN(ROUND(L272*R273,0)*M272,0)*AC273,"")</f>
        <v/>
      </c>
      <c r="AF273" s="567" t="str">
        <f>IFERROR(ROUNDDOWN(ROUND(L272*(R273-P273),0)*M272,0)*AC273,"")</f>
        <v/>
      </c>
      <c r="AG273" s="568"/>
      <c r="AH273" s="453"/>
      <c r="AI273" s="454"/>
      <c r="AJ273" s="455"/>
      <c r="AK273" s="456"/>
      <c r="AL273" s="457"/>
      <c r="AM273" s="458"/>
      <c r="AN273" s="569" t="str">
        <f t="shared" ref="AN273" si="364">IF(AP272="","",IF(OR(Z272=4,Z273=4,Z274=4),"！加算の要件上は問題ありませんが、算定期間の終わりが令和６年５月になっていません。区分変更の場合は、「基本情報入力シート」で同じ事業所を２行に分けて記入してください。",""))</f>
        <v/>
      </c>
      <c r="AO273" s="570"/>
      <c r="AP273" s="557" t="str">
        <f>IF(K272&lt;&gt;"","P列・R列に色付け","")</f>
        <v/>
      </c>
      <c r="AY273" s="543" t="str">
        <f>G272</f>
        <v/>
      </c>
    </row>
    <row r="274" spans="1:51" ht="32.1" customHeight="1" thickBot="1">
      <c r="A274" s="1227"/>
      <c r="B274" s="1224"/>
      <c r="C274" s="1224"/>
      <c r="D274" s="1224"/>
      <c r="E274" s="1224"/>
      <c r="F274" s="1224"/>
      <c r="G274" s="1236"/>
      <c r="H274" s="1236"/>
      <c r="I274" s="1236"/>
      <c r="J274" s="1236"/>
      <c r="K274" s="1236"/>
      <c r="L274" s="1239"/>
      <c r="M274" s="1294"/>
      <c r="N274" s="571" t="s">
        <v>140</v>
      </c>
      <c r="O274" s="155"/>
      <c r="P274" s="591" t="str">
        <f>IFERROR(VLOOKUP(K272,【参考】数式用!$A$5:$J$27,MATCH(O274,【参考】数式用!$B$4:$J$4,0)+1,0),"")</f>
        <v/>
      </c>
      <c r="Q274" s="153"/>
      <c r="R274" s="572" t="str">
        <f>IFERROR(VLOOKUP(K272,【参考】数式用!$A$5:$J$27,MATCH(Q274,【参考】数式用!$B$4:$J$4,0)+1,0),"")</f>
        <v/>
      </c>
      <c r="S274" s="573" t="s">
        <v>19</v>
      </c>
      <c r="T274" s="574">
        <v>6</v>
      </c>
      <c r="U274" s="575" t="s">
        <v>10</v>
      </c>
      <c r="V274" s="110">
        <v>4</v>
      </c>
      <c r="W274" s="575" t="s">
        <v>45</v>
      </c>
      <c r="X274" s="574">
        <v>6</v>
      </c>
      <c r="Y274" s="575" t="s">
        <v>10</v>
      </c>
      <c r="Z274" s="110">
        <v>5</v>
      </c>
      <c r="AA274" s="575" t="s">
        <v>13</v>
      </c>
      <c r="AB274" s="576" t="s">
        <v>24</v>
      </c>
      <c r="AC274" s="577">
        <f t="shared" si="295"/>
        <v>2</v>
      </c>
      <c r="AD274" s="575" t="s">
        <v>38</v>
      </c>
      <c r="AE274" s="590" t="str">
        <f>IFERROR(ROUNDDOWN(ROUND(L272*R274,0)*M272,0)*AC274,"")</f>
        <v/>
      </c>
      <c r="AF274" s="579" t="str">
        <f>IFERROR(ROUNDDOWN(ROUND(L272*(R274-P274),0)*M272,0)*AC274,"")</f>
        <v/>
      </c>
      <c r="AG274" s="580">
        <f t="shared" si="336"/>
        <v>0</v>
      </c>
      <c r="AH274" s="459"/>
      <c r="AI274" s="460"/>
      <c r="AJ274" s="461"/>
      <c r="AK274" s="462"/>
      <c r="AL274" s="463"/>
      <c r="AM274" s="464"/>
      <c r="AN274" s="581" t="str">
        <f t="shared" ref="AN274" si="365">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82" t="str">
        <f>IF(K272&lt;&gt;"","P列・R列に色付け","")</f>
        <v/>
      </c>
      <c r="AQ274" s="583"/>
      <c r="AR274" s="583"/>
      <c r="AX274" s="584"/>
      <c r="AY274" s="543" t="str">
        <f>G272</f>
        <v/>
      </c>
    </row>
    <row r="275" spans="1:51" ht="32.1" customHeight="1">
      <c r="A275" s="1225">
        <v>88</v>
      </c>
      <c r="B275" s="1222" t="str">
        <f>IF(基本情報入力シート!C141="","",基本情報入力シート!C141)</f>
        <v/>
      </c>
      <c r="C275" s="1222"/>
      <c r="D275" s="1222"/>
      <c r="E275" s="1222"/>
      <c r="F275" s="1222"/>
      <c r="G275" s="1234" t="str">
        <f>IF(基本情報入力シート!M141="","",基本情報入力シート!M141)</f>
        <v/>
      </c>
      <c r="H275" s="1234" t="str">
        <f>IF(基本情報入力シート!R141="","",基本情報入力シート!R141)</f>
        <v/>
      </c>
      <c r="I275" s="1234" t="str">
        <f>IF(基本情報入力シート!W141="","",基本情報入力シート!W141)</f>
        <v/>
      </c>
      <c r="J275" s="1234" t="str">
        <f>IF(基本情報入力シート!X141="","",基本情報入力シート!X141)</f>
        <v/>
      </c>
      <c r="K275" s="1234" t="str">
        <f>IF(基本情報入力シート!Y141="","",基本情報入力シート!Y141)</f>
        <v/>
      </c>
      <c r="L275" s="1237" t="str">
        <f>IF(基本情報入力シート!AB141="","",基本情報入力シート!AB141)</f>
        <v/>
      </c>
      <c r="M275" s="1292" t="str">
        <f>IF(基本情報入力シート!AC141="","",基本情報入力シート!AC141)</f>
        <v/>
      </c>
      <c r="N275" s="547" t="s">
        <v>183</v>
      </c>
      <c r="O275" s="151"/>
      <c r="P275" s="548" t="str">
        <f>IFERROR(VLOOKUP(K275,【参考】数式用!$A$5:$J$27,MATCH(O275,【参考】数式用!$B$4:$J$4,0)+1,0),"")</f>
        <v/>
      </c>
      <c r="Q275" s="151"/>
      <c r="R275" s="548" t="str">
        <f>IFERROR(VLOOKUP(K275,【参考】数式用!$A$5:$J$27,MATCH(Q275,【参考】数式用!$B$4:$J$4,0)+1,0),"")</f>
        <v/>
      </c>
      <c r="S275" s="549" t="s">
        <v>19</v>
      </c>
      <c r="T275" s="550">
        <v>6</v>
      </c>
      <c r="U275" s="202" t="s">
        <v>10</v>
      </c>
      <c r="V275" s="71">
        <v>4</v>
      </c>
      <c r="W275" s="202" t="s">
        <v>45</v>
      </c>
      <c r="X275" s="550">
        <v>6</v>
      </c>
      <c r="Y275" s="202" t="s">
        <v>10</v>
      </c>
      <c r="Z275" s="71">
        <v>5</v>
      </c>
      <c r="AA275" s="202" t="s">
        <v>13</v>
      </c>
      <c r="AB275" s="551" t="s">
        <v>24</v>
      </c>
      <c r="AC275" s="552">
        <f t="shared" si="295"/>
        <v>2</v>
      </c>
      <c r="AD275" s="202" t="s">
        <v>38</v>
      </c>
      <c r="AE275" s="553" t="str">
        <f>IFERROR(ROUNDDOWN(ROUND(L275*R275,0)*M275,0)*AC275,"")</f>
        <v/>
      </c>
      <c r="AF275" s="554" t="str">
        <f>IFERROR(ROUNDDOWN(ROUND(L275*(R275-P275),0)*M275,0)*AC275,"")</f>
        <v/>
      </c>
      <c r="AG275" s="555"/>
      <c r="AH275" s="465"/>
      <c r="AI275" s="473"/>
      <c r="AJ275" s="470"/>
      <c r="AK275" s="471"/>
      <c r="AL275" s="451"/>
      <c r="AM275" s="452"/>
      <c r="AN275" s="556" t="str">
        <f t="shared" ref="AN275" si="366">IF(AP275="","",IF(R275&lt;P275,"！加算の要件上は問題ありませんが、令和６年３月と比較して４・５月に加算率が下がる計画になっています。",""))</f>
        <v/>
      </c>
      <c r="AP275" s="557" t="str">
        <f>IF(K275&lt;&gt;"","P列・R列に色付け","")</f>
        <v/>
      </c>
      <c r="AQ275" s="558" t="str">
        <f>IFERROR(VLOOKUP(K275,【参考】数式用!$AJ$2:$AK$24,2,FALSE),"")</f>
        <v/>
      </c>
      <c r="AR275" s="560" t="str">
        <f>Q275&amp;Q276&amp;Q277</f>
        <v/>
      </c>
      <c r="AS275" s="558" t="str">
        <f t="shared" ref="AS275" si="367">IF(AG277&lt;&gt;0,IF(AH277="○","入力済","未入力"),"")</f>
        <v/>
      </c>
      <c r="AT275" s="559" t="str">
        <f>IF(OR(Q275="処遇加算Ⅰ",Q275="処遇加算Ⅱ"),IF(OR(AI275="○",AI275="令和６年度中に満たす"),"入力済","未入力"),"")</f>
        <v/>
      </c>
      <c r="AU275" s="560" t="str">
        <f>IF(Q275="処遇加算Ⅲ",IF(AJ275="○","入力済","未入力"),"")</f>
        <v/>
      </c>
      <c r="AV275" s="558" t="str">
        <f>IF(Q275="処遇加算Ⅰ",IF(OR(AK275="○",AK275="令和６年度中に満たす"),"入力済","未入力"),"")</f>
        <v/>
      </c>
      <c r="AW275" s="558"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43" t="str">
        <f>IF(Q276="特定加算Ⅰ",IF(AM276="","未入力","入力済"),"")</f>
        <v/>
      </c>
      <c r="AY275" s="543" t="str">
        <f>G275</f>
        <v/>
      </c>
    </row>
    <row r="276" spans="1:51" ht="32.1" customHeight="1">
      <c r="A276" s="1226"/>
      <c r="B276" s="1223"/>
      <c r="C276" s="1223"/>
      <c r="D276" s="1223"/>
      <c r="E276" s="1223"/>
      <c r="F276" s="1223"/>
      <c r="G276" s="1235"/>
      <c r="H276" s="1235"/>
      <c r="I276" s="1235"/>
      <c r="J276" s="1235"/>
      <c r="K276" s="1235"/>
      <c r="L276" s="1238"/>
      <c r="M276" s="1293"/>
      <c r="N276" s="561" t="s">
        <v>170</v>
      </c>
      <c r="O276" s="152"/>
      <c r="P276" s="562" t="str">
        <f>IFERROR(VLOOKUP(K275,【参考】数式用!$A$5:$J$27,MATCH(O276,【参考】数式用!$B$4:$J$4,0)+1,0),"")</f>
        <v/>
      </c>
      <c r="Q276" s="152"/>
      <c r="R276" s="562" t="str">
        <f>IFERROR(VLOOKUP(K275,【参考】数式用!$A$5:$J$27,MATCH(Q276,【参考】数式用!$B$4:$J$4,0)+1,0),"")</f>
        <v/>
      </c>
      <c r="S276" s="173" t="s">
        <v>19</v>
      </c>
      <c r="T276" s="563">
        <v>6</v>
      </c>
      <c r="U276" s="174" t="s">
        <v>10</v>
      </c>
      <c r="V276" s="109">
        <v>4</v>
      </c>
      <c r="W276" s="174" t="s">
        <v>45</v>
      </c>
      <c r="X276" s="563">
        <v>6</v>
      </c>
      <c r="Y276" s="174" t="s">
        <v>10</v>
      </c>
      <c r="Z276" s="109">
        <v>5</v>
      </c>
      <c r="AA276" s="174" t="s">
        <v>13</v>
      </c>
      <c r="AB276" s="564" t="s">
        <v>24</v>
      </c>
      <c r="AC276" s="565">
        <f t="shared" si="295"/>
        <v>2</v>
      </c>
      <c r="AD276" s="174" t="s">
        <v>38</v>
      </c>
      <c r="AE276" s="566" t="str">
        <f>IFERROR(ROUNDDOWN(ROUND(L275*R276,0)*M275,0)*AC276,"")</f>
        <v/>
      </c>
      <c r="AF276" s="567" t="str">
        <f>IFERROR(ROUNDDOWN(ROUND(L275*(R276-P276),0)*M275,0)*AC276,"")</f>
        <v/>
      </c>
      <c r="AG276" s="568"/>
      <c r="AH276" s="453"/>
      <c r="AI276" s="454"/>
      <c r="AJ276" s="455"/>
      <c r="AK276" s="456"/>
      <c r="AL276" s="457"/>
      <c r="AM276" s="458"/>
      <c r="AN276" s="569" t="str">
        <f t="shared" ref="AN276" si="368">IF(AP275="","",IF(OR(Z275=4,Z276=4,Z277=4),"！加算の要件上は問題ありませんが、算定期間の終わりが令和６年５月になっていません。区分変更の場合は、「基本情報入力シート」で同じ事業所を２行に分けて記入してください。",""))</f>
        <v/>
      </c>
      <c r="AO276" s="570"/>
      <c r="AP276" s="557" t="str">
        <f>IF(K275&lt;&gt;"","P列・R列に色付け","")</f>
        <v/>
      </c>
      <c r="AY276" s="543" t="str">
        <f>G275</f>
        <v/>
      </c>
    </row>
    <row r="277" spans="1:51" ht="32.1" customHeight="1" thickBot="1">
      <c r="A277" s="1227"/>
      <c r="B277" s="1224"/>
      <c r="C277" s="1224"/>
      <c r="D277" s="1224"/>
      <c r="E277" s="1224"/>
      <c r="F277" s="1224"/>
      <c r="G277" s="1236"/>
      <c r="H277" s="1236"/>
      <c r="I277" s="1236"/>
      <c r="J277" s="1236"/>
      <c r="K277" s="1236"/>
      <c r="L277" s="1239"/>
      <c r="M277" s="1294"/>
      <c r="N277" s="571" t="s">
        <v>140</v>
      </c>
      <c r="O277" s="155"/>
      <c r="P277" s="591" t="str">
        <f>IFERROR(VLOOKUP(K275,【参考】数式用!$A$5:$J$27,MATCH(O277,【参考】数式用!$B$4:$J$4,0)+1,0),"")</f>
        <v/>
      </c>
      <c r="Q277" s="153"/>
      <c r="R277" s="572" t="str">
        <f>IFERROR(VLOOKUP(K275,【参考】数式用!$A$5:$J$27,MATCH(Q277,【参考】数式用!$B$4:$J$4,0)+1,0),"")</f>
        <v/>
      </c>
      <c r="S277" s="573" t="s">
        <v>19</v>
      </c>
      <c r="T277" s="574">
        <v>6</v>
      </c>
      <c r="U277" s="575" t="s">
        <v>10</v>
      </c>
      <c r="V277" s="110">
        <v>4</v>
      </c>
      <c r="W277" s="575" t="s">
        <v>45</v>
      </c>
      <c r="X277" s="574">
        <v>6</v>
      </c>
      <c r="Y277" s="575" t="s">
        <v>10</v>
      </c>
      <c r="Z277" s="110">
        <v>5</v>
      </c>
      <c r="AA277" s="575" t="s">
        <v>13</v>
      </c>
      <c r="AB277" s="576" t="s">
        <v>24</v>
      </c>
      <c r="AC277" s="577">
        <f t="shared" si="295"/>
        <v>2</v>
      </c>
      <c r="AD277" s="575" t="s">
        <v>38</v>
      </c>
      <c r="AE277" s="590" t="str">
        <f>IFERROR(ROUNDDOWN(ROUND(L275*R277,0)*M275,0)*AC277,"")</f>
        <v/>
      </c>
      <c r="AF277" s="579" t="str">
        <f>IFERROR(ROUNDDOWN(ROUND(L275*(R277-P277),0)*M275,0)*AC277,"")</f>
        <v/>
      </c>
      <c r="AG277" s="580">
        <f t="shared" si="336"/>
        <v>0</v>
      </c>
      <c r="AH277" s="459"/>
      <c r="AI277" s="460"/>
      <c r="AJ277" s="461"/>
      <c r="AK277" s="462"/>
      <c r="AL277" s="463"/>
      <c r="AM277" s="464"/>
      <c r="AN277" s="581" t="str">
        <f t="shared" ref="AN277" si="369">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82" t="str">
        <f>IF(K275&lt;&gt;"","P列・R列に色付け","")</f>
        <v/>
      </c>
      <c r="AQ277" s="583"/>
      <c r="AR277" s="583"/>
      <c r="AX277" s="584"/>
      <c r="AY277" s="543" t="str">
        <f>G275</f>
        <v/>
      </c>
    </row>
    <row r="278" spans="1:51" ht="32.1" customHeight="1">
      <c r="A278" s="1225">
        <v>89</v>
      </c>
      <c r="B278" s="1222" t="str">
        <f>IF(基本情報入力シート!C142="","",基本情報入力シート!C142)</f>
        <v/>
      </c>
      <c r="C278" s="1222"/>
      <c r="D278" s="1222"/>
      <c r="E278" s="1222"/>
      <c r="F278" s="1222"/>
      <c r="G278" s="1234" t="str">
        <f>IF(基本情報入力シート!M142="","",基本情報入力シート!M142)</f>
        <v/>
      </c>
      <c r="H278" s="1234" t="str">
        <f>IF(基本情報入力シート!R142="","",基本情報入力シート!R142)</f>
        <v/>
      </c>
      <c r="I278" s="1234" t="str">
        <f>IF(基本情報入力シート!W142="","",基本情報入力シート!W142)</f>
        <v/>
      </c>
      <c r="J278" s="1234" t="str">
        <f>IF(基本情報入力シート!X142="","",基本情報入力シート!X142)</f>
        <v/>
      </c>
      <c r="K278" s="1234" t="str">
        <f>IF(基本情報入力シート!Y142="","",基本情報入力シート!Y142)</f>
        <v/>
      </c>
      <c r="L278" s="1237" t="str">
        <f>IF(基本情報入力シート!AB142="","",基本情報入力シート!AB142)</f>
        <v/>
      </c>
      <c r="M278" s="1292" t="str">
        <f>IF(基本情報入力シート!AC142="","",基本情報入力シート!AC142)</f>
        <v/>
      </c>
      <c r="N278" s="547" t="s">
        <v>183</v>
      </c>
      <c r="O278" s="151"/>
      <c r="P278" s="548" t="str">
        <f>IFERROR(VLOOKUP(K278,【参考】数式用!$A$5:$J$27,MATCH(O278,【参考】数式用!$B$4:$J$4,0)+1,0),"")</f>
        <v/>
      </c>
      <c r="Q278" s="151"/>
      <c r="R278" s="548" t="str">
        <f>IFERROR(VLOOKUP(K278,【参考】数式用!$A$5:$J$27,MATCH(Q278,【参考】数式用!$B$4:$J$4,0)+1,0),"")</f>
        <v/>
      </c>
      <c r="S278" s="549" t="s">
        <v>19</v>
      </c>
      <c r="T278" s="550">
        <v>6</v>
      </c>
      <c r="U278" s="202" t="s">
        <v>10</v>
      </c>
      <c r="V278" s="71">
        <v>4</v>
      </c>
      <c r="W278" s="202" t="s">
        <v>45</v>
      </c>
      <c r="X278" s="550">
        <v>6</v>
      </c>
      <c r="Y278" s="202" t="s">
        <v>10</v>
      </c>
      <c r="Z278" s="71">
        <v>5</v>
      </c>
      <c r="AA278" s="202" t="s">
        <v>13</v>
      </c>
      <c r="AB278" s="551" t="s">
        <v>24</v>
      </c>
      <c r="AC278" s="552">
        <f t="shared" si="295"/>
        <v>2</v>
      </c>
      <c r="AD278" s="202" t="s">
        <v>38</v>
      </c>
      <c r="AE278" s="553" t="str">
        <f>IFERROR(ROUNDDOWN(ROUND(L278*R278,0)*M278,0)*AC278,"")</f>
        <v/>
      </c>
      <c r="AF278" s="554" t="str">
        <f>IFERROR(ROUNDDOWN(ROUND(L278*(R278-P278),0)*M278,0)*AC278,"")</f>
        <v/>
      </c>
      <c r="AG278" s="555"/>
      <c r="AH278" s="465"/>
      <c r="AI278" s="473"/>
      <c r="AJ278" s="470"/>
      <c r="AK278" s="471"/>
      <c r="AL278" s="451"/>
      <c r="AM278" s="452"/>
      <c r="AN278" s="556" t="str">
        <f t="shared" ref="AN278" si="370">IF(AP278="","",IF(R278&lt;P278,"！加算の要件上は問題ありませんが、令和６年３月と比較して４・５月に加算率が下がる計画になっています。",""))</f>
        <v/>
      </c>
      <c r="AP278" s="557" t="str">
        <f>IF(K278&lt;&gt;"","P列・R列に色付け","")</f>
        <v/>
      </c>
      <c r="AQ278" s="558" t="str">
        <f>IFERROR(VLOOKUP(K278,【参考】数式用!$AJ$2:$AK$24,2,FALSE),"")</f>
        <v/>
      </c>
      <c r="AR278" s="560" t="str">
        <f>Q278&amp;Q279&amp;Q280</f>
        <v/>
      </c>
      <c r="AS278" s="558" t="str">
        <f t="shared" ref="AS278" si="371">IF(AG280&lt;&gt;0,IF(AH280="○","入力済","未入力"),"")</f>
        <v/>
      </c>
      <c r="AT278" s="559" t="str">
        <f>IF(OR(Q278="処遇加算Ⅰ",Q278="処遇加算Ⅱ"),IF(OR(AI278="○",AI278="令和６年度中に満たす"),"入力済","未入力"),"")</f>
        <v/>
      </c>
      <c r="AU278" s="560" t="str">
        <f>IF(Q278="処遇加算Ⅲ",IF(AJ278="○","入力済","未入力"),"")</f>
        <v/>
      </c>
      <c r="AV278" s="558" t="str">
        <f>IF(Q278="処遇加算Ⅰ",IF(OR(AK278="○",AK278="令和６年度中に満たす"),"入力済","未入力"),"")</f>
        <v/>
      </c>
      <c r="AW278" s="558"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43" t="str">
        <f>IF(Q279="特定加算Ⅰ",IF(AM279="","未入力","入力済"),"")</f>
        <v/>
      </c>
      <c r="AY278" s="543" t="str">
        <f>G278</f>
        <v/>
      </c>
    </row>
    <row r="279" spans="1:51" ht="32.1" customHeight="1">
      <c r="A279" s="1226"/>
      <c r="B279" s="1223"/>
      <c r="C279" s="1223"/>
      <c r="D279" s="1223"/>
      <c r="E279" s="1223"/>
      <c r="F279" s="1223"/>
      <c r="G279" s="1235"/>
      <c r="H279" s="1235"/>
      <c r="I279" s="1235"/>
      <c r="J279" s="1235"/>
      <c r="K279" s="1235"/>
      <c r="L279" s="1238"/>
      <c r="M279" s="1293"/>
      <c r="N279" s="561" t="s">
        <v>170</v>
      </c>
      <c r="O279" s="152"/>
      <c r="P279" s="562" t="str">
        <f>IFERROR(VLOOKUP(K278,【参考】数式用!$A$5:$J$27,MATCH(O279,【参考】数式用!$B$4:$J$4,0)+1,0),"")</f>
        <v/>
      </c>
      <c r="Q279" s="152"/>
      <c r="R279" s="562" t="str">
        <f>IFERROR(VLOOKUP(K278,【参考】数式用!$A$5:$J$27,MATCH(Q279,【参考】数式用!$B$4:$J$4,0)+1,0),"")</f>
        <v/>
      </c>
      <c r="S279" s="173" t="s">
        <v>19</v>
      </c>
      <c r="T279" s="563">
        <v>6</v>
      </c>
      <c r="U279" s="174" t="s">
        <v>10</v>
      </c>
      <c r="V279" s="109">
        <v>4</v>
      </c>
      <c r="W279" s="174" t="s">
        <v>45</v>
      </c>
      <c r="X279" s="563">
        <v>6</v>
      </c>
      <c r="Y279" s="174" t="s">
        <v>10</v>
      </c>
      <c r="Z279" s="109">
        <v>5</v>
      </c>
      <c r="AA279" s="174" t="s">
        <v>13</v>
      </c>
      <c r="AB279" s="564" t="s">
        <v>24</v>
      </c>
      <c r="AC279" s="565">
        <f t="shared" si="295"/>
        <v>2</v>
      </c>
      <c r="AD279" s="174" t="s">
        <v>38</v>
      </c>
      <c r="AE279" s="566" t="str">
        <f>IFERROR(ROUNDDOWN(ROUND(L278*R279,0)*M278,0)*AC279,"")</f>
        <v/>
      </c>
      <c r="AF279" s="567" t="str">
        <f>IFERROR(ROUNDDOWN(ROUND(L278*(R279-P279),0)*M278,0)*AC279,"")</f>
        <v/>
      </c>
      <c r="AG279" s="568"/>
      <c r="AH279" s="453"/>
      <c r="AI279" s="454"/>
      <c r="AJ279" s="455"/>
      <c r="AK279" s="456"/>
      <c r="AL279" s="457"/>
      <c r="AM279" s="458"/>
      <c r="AN279" s="569" t="str">
        <f t="shared" ref="AN279" si="372">IF(AP278="","",IF(OR(Z278=4,Z279=4,Z280=4),"！加算の要件上は問題ありませんが、算定期間の終わりが令和６年５月になっていません。区分変更の場合は、「基本情報入力シート」で同じ事業所を２行に分けて記入してください。",""))</f>
        <v/>
      </c>
      <c r="AO279" s="570"/>
      <c r="AP279" s="557" t="str">
        <f>IF(K278&lt;&gt;"","P列・R列に色付け","")</f>
        <v/>
      </c>
      <c r="AY279" s="543" t="str">
        <f>G278</f>
        <v/>
      </c>
    </row>
    <row r="280" spans="1:51" ht="32.1" customHeight="1" thickBot="1">
      <c r="A280" s="1227"/>
      <c r="B280" s="1224"/>
      <c r="C280" s="1224"/>
      <c r="D280" s="1224"/>
      <c r="E280" s="1224"/>
      <c r="F280" s="1224"/>
      <c r="G280" s="1236"/>
      <c r="H280" s="1236"/>
      <c r="I280" s="1236"/>
      <c r="J280" s="1236"/>
      <c r="K280" s="1236"/>
      <c r="L280" s="1239"/>
      <c r="M280" s="1294"/>
      <c r="N280" s="571" t="s">
        <v>140</v>
      </c>
      <c r="O280" s="155"/>
      <c r="P280" s="591" t="str">
        <f>IFERROR(VLOOKUP(K278,【参考】数式用!$A$5:$J$27,MATCH(O280,【参考】数式用!$B$4:$J$4,0)+1,0),"")</f>
        <v/>
      </c>
      <c r="Q280" s="153"/>
      <c r="R280" s="572" t="str">
        <f>IFERROR(VLOOKUP(K278,【参考】数式用!$A$5:$J$27,MATCH(Q280,【参考】数式用!$B$4:$J$4,0)+1,0),"")</f>
        <v/>
      </c>
      <c r="S280" s="573" t="s">
        <v>19</v>
      </c>
      <c r="T280" s="574">
        <v>6</v>
      </c>
      <c r="U280" s="575" t="s">
        <v>10</v>
      </c>
      <c r="V280" s="110">
        <v>4</v>
      </c>
      <c r="W280" s="575" t="s">
        <v>45</v>
      </c>
      <c r="X280" s="574">
        <v>6</v>
      </c>
      <c r="Y280" s="575" t="s">
        <v>10</v>
      </c>
      <c r="Z280" s="110">
        <v>5</v>
      </c>
      <c r="AA280" s="575" t="s">
        <v>13</v>
      </c>
      <c r="AB280" s="576" t="s">
        <v>24</v>
      </c>
      <c r="AC280" s="577">
        <f t="shared" si="295"/>
        <v>2</v>
      </c>
      <c r="AD280" s="575" t="s">
        <v>38</v>
      </c>
      <c r="AE280" s="590" t="str">
        <f>IFERROR(ROUNDDOWN(ROUND(L278*R280,0)*M278,0)*AC280,"")</f>
        <v/>
      </c>
      <c r="AF280" s="579" t="str">
        <f>IFERROR(ROUNDDOWN(ROUND(L278*(R280-P280),0)*M278,0)*AC280,"")</f>
        <v/>
      </c>
      <c r="AG280" s="580">
        <f t="shared" si="336"/>
        <v>0</v>
      </c>
      <c r="AH280" s="459"/>
      <c r="AI280" s="460"/>
      <c r="AJ280" s="461"/>
      <c r="AK280" s="462"/>
      <c r="AL280" s="463"/>
      <c r="AM280" s="464"/>
      <c r="AN280" s="581" t="str">
        <f t="shared" ref="AN280" si="373">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82" t="str">
        <f>IF(K278&lt;&gt;"","P列・R列に色付け","")</f>
        <v/>
      </c>
      <c r="AQ280" s="583"/>
      <c r="AR280" s="583"/>
      <c r="AX280" s="584"/>
      <c r="AY280" s="543" t="str">
        <f>G278</f>
        <v/>
      </c>
    </row>
    <row r="281" spans="1:51" ht="32.1" customHeight="1">
      <c r="A281" s="1225">
        <v>90</v>
      </c>
      <c r="B281" s="1222" t="str">
        <f>IF(基本情報入力シート!C143="","",基本情報入力シート!C143)</f>
        <v/>
      </c>
      <c r="C281" s="1222"/>
      <c r="D281" s="1222"/>
      <c r="E281" s="1222"/>
      <c r="F281" s="1222"/>
      <c r="G281" s="1234" t="str">
        <f>IF(基本情報入力シート!M143="","",基本情報入力シート!M143)</f>
        <v/>
      </c>
      <c r="H281" s="1234" t="str">
        <f>IF(基本情報入力シート!R143="","",基本情報入力シート!R143)</f>
        <v/>
      </c>
      <c r="I281" s="1234" t="str">
        <f>IF(基本情報入力シート!W143="","",基本情報入力シート!W143)</f>
        <v/>
      </c>
      <c r="J281" s="1234" t="str">
        <f>IF(基本情報入力シート!X143="","",基本情報入力シート!X143)</f>
        <v/>
      </c>
      <c r="K281" s="1234" t="str">
        <f>IF(基本情報入力シート!Y143="","",基本情報入力シート!Y143)</f>
        <v/>
      </c>
      <c r="L281" s="1237" t="str">
        <f>IF(基本情報入力シート!AB143="","",基本情報入力シート!AB143)</f>
        <v/>
      </c>
      <c r="M281" s="1292" t="str">
        <f>IF(基本情報入力シート!AC143="","",基本情報入力シート!AC143)</f>
        <v/>
      </c>
      <c r="N281" s="547" t="s">
        <v>183</v>
      </c>
      <c r="O281" s="151"/>
      <c r="P281" s="548" t="str">
        <f>IFERROR(VLOOKUP(K281,【参考】数式用!$A$5:$J$27,MATCH(O281,【参考】数式用!$B$4:$J$4,0)+1,0),"")</f>
        <v/>
      </c>
      <c r="Q281" s="151"/>
      <c r="R281" s="548" t="str">
        <f>IFERROR(VLOOKUP(K281,【参考】数式用!$A$5:$J$27,MATCH(Q281,【参考】数式用!$B$4:$J$4,0)+1,0),"")</f>
        <v/>
      </c>
      <c r="S281" s="549" t="s">
        <v>19</v>
      </c>
      <c r="T281" s="550">
        <v>6</v>
      </c>
      <c r="U281" s="202" t="s">
        <v>10</v>
      </c>
      <c r="V281" s="71">
        <v>4</v>
      </c>
      <c r="W281" s="202" t="s">
        <v>45</v>
      </c>
      <c r="X281" s="550">
        <v>6</v>
      </c>
      <c r="Y281" s="202" t="s">
        <v>10</v>
      </c>
      <c r="Z281" s="71">
        <v>5</v>
      </c>
      <c r="AA281" s="202" t="s">
        <v>13</v>
      </c>
      <c r="AB281" s="551" t="s">
        <v>24</v>
      </c>
      <c r="AC281" s="552">
        <f t="shared" si="295"/>
        <v>2</v>
      </c>
      <c r="AD281" s="202" t="s">
        <v>38</v>
      </c>
      <c r="AE281" s="553" t="str">
        <f>IFERROR(ROUNDDOWN(ROUND(L281*R281,0)*M281,0)*AC281,"")</f>
        <v/>
      </c>
      <c r="AF281" s="554" t="str">
        <f>IFERROR(ROUNDDOWN(ROUND(L281*(R281-P281),0)*M281,0)*AC281,"")</f>
        <v/>
      </c>
      <c r="AG281" s="555"/>
      <c r="AH281" s="465"/>
      <c r="AI281" s="473"/>
      <c r="AJ281" s="470"/>
      <c r="AK281" s="471"/>
      <c r="AL281" s="451"/>
      <c r="AM281" s="452"/>
      <c r="AN281" s="556" t="str">
        <f t="shared" ref="AN281" si="374">IF(AP281="","",IF(R281&lt;P281,"！加算の要件上は問題ありませんが、令和６年３月と比較して４・５月に加算率が下がる計画になっています。",""))</f>
        <v/>
      </c>
      <c r="AP281" s="557" t="str">
        <f>IF(K281&lt;&gt;"","P列・R列に色付け","")</f>
        <v/>
      </c>
      <c r="AQ281" s="558" t="str">
        <f>IFERROR(VLOOKUP(K281,【参考】数式用!$AJ$2:$AK$24,2,FALSE),"")</f>
        <v/>
      </c>
      <c r="AR281" s="560" t="str">
        <f>Q281&amp;Q282&amp;Q283</f>
        <v/>
      </c>
      <c r="AS281" s="558" t="str">
        <f t="shared" ref="AS281" si="375">IF(AG283&lt;&gt;0,IF(AH283="○","入力済","未入力"),"")</f>
        <v/>
      </c>
      <c r="AT281" s="559" t="str">
        <f>IF(OR(Q281="処遇加算Ⅰ",Q281="処遇加算Ⅱ"),IF(OR(AI281="○",AI281="令和６年度中に満たす"),"入力済","未入力"),"")</f>
        <v/>
      </c>
      <c r="AU281" s="560" t="str">
        <f>IF(Q281="処遇加算Ⅲ",IF(AJ281="○","入力済","未入力"),"")</f>
        <v/>
      </c>
      <c r="AV281" s="558" t="str">
        <f>IF(Q281="処遇加算Ⅰ",IF(OR(AK281="○",AK281="令和６年度中に満たす"),"入力済","未入力"),"")</f>
        <v/>
      </c>
      <c r="AW281" s="558"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43" t="str">
        <f>IF(Q282="特定加算Ⅰ",IF(AM282="","未入力","入力済"),"")</f>
        <v/>
      </c>
      <c r="AY281" s="543" t="str">
        <f>G281</f>
        <v/>
      </c>
    </row>
    <row r="282" spans="1:51" ht="32.1" customHeight="1">
      <c r="A282" s="1226"/>
      <c r="B282" s="1223"/>
      <c r="C282" s="1223"/>
      <c r="D282" s="1223"/>
      <c r="E282" s="1223"/>
      <c r="F282" s="1223"/>
      <c r="G282" s="1235"/>
      <c r="H282" s="1235"/>
      <c r="I282" s="1235"/>
      <c r="J282" s="1235"/>
      <c r="K282" s="1235"/>
      <c r="L282" s="1238"/>
      <c r="M282" s="1293"/>
      <c r="N282" s="561" t="s">
        <v>170</v>
      </c>
      <c r="O282" s="152"/>
      <c r="P282" s="562" t="str">
        <f>IFERROR(VLOOKUP(K281,【参考】数式用!$A$5:$J$27,MATCH(O282,【参考】数式用!$B$4:$J$4,0)+1,0),"")</f>
        <v/>
      </c>
      <c r="Q282" s="152"/>
      <c r="R282" s="562" t="str">
        <f>IFERROR(VLOOKUP(K281,【参考】数式用!$A$5:$J$27,MATCH(Q282,【参考】数式用!$B$4:$J$4,0)+1,0),"")</f>
        <v/>
      </c>
      <c r="S282" s="173" t="s">
        <v>19</v>
      </c>
      <c r="T282" s="563">
        <v>6</v>
      </c>
      <c r="U282" s="174" t="s">
        <v>10</v>
      </c>
      <c r="V282" s="109">
        <v>4</v>
      </c>
      <c r="W282" s="174" t="s">
        <v>45</v>
      </c>
      <c r="X282" s="563">
        <v>6</v>
      </c>
      <c r="Y282" s="174" t="s">
        <v>10</v>
      </c>
      <c r="Z282" s="109">
        <v>5</v>
      </c>
      <c r="AA282" s="174" t="s">
        <v>13</v>
      </c>
      <c r="AB282" s="564" t="s">
        <v>24</v>
      </c>
      <c r="AC282" s="565">
        <f t="shared" si="295"/>
        <v>2</v>
      </c>
      <c r="AD282" s="174" t="s">
        <v>38</v>
      </c>
      <c r="AE282" s="566" t="str">
        <f>IFERROR(ROUNDDOWN(ROUND(L281*R282,0)*M281,0)*AC282,"")</f>
        <v/>
      </c>
      <c r="AF282" s="567" t="str">
        <f>IFERROR(ROUNDDOWN(ROUND(L281*(R282-P282),0)*M281,0)*AC282,"")</f>
        <v/>
      </c>
      <c r="AG282" s="568"/>
      <c r="AH282" s="453"/>
      <c r="AI282" s="454"/>
      <c r="AJ282" s="455"/>
      <c r="AK282" s="456"/>
      <c r="AL282" s="457"/>
      <c r="AM282" s="458"/>
      <c r="AN282" s="569" t="str">
        <f t="shared" ref="AN282" si="376">IF(AP281="","",IF(OR(Z281=4,Z282=4,Z283=4),"！加算の要件上は問題ありませんが、算定期間の終わりが令和６年５月になっていません。区分変更の場合は、「基本情報入力シート」で同じ事業所を２行に分けて記入してください。",""))</f>
        <v/>
      </c>
      <c r="AO282" s="570"/>
      <c r="AP282" s="557" t="str">
        <f>IF(K281&lt;&gt;"","P列・R列に色付け","")</f>
        <v/>
      </c>
      <c r="AY282" s="543" t="str">
        <f>G281</f>
        <v/>
      </c>
    </row>
    <row r="283" spans="1:51" ht="32.1" customHeight="1" thickBot="1">
      <c r="A283" s="1227"/>
      <c r="B283" s="1224"/>
      <c r="C283" s="1224"/>
      <c r="D283" s="1224"/>
      <c r="E283" s="1224"/>
      <c r="F283" s="1224"/>
      <c r="G283" s="1236"/>
      <c r="H283" s="1236"/>
      <c r="I283" s="1236"/>
      <c r="J283" s="1236"/>
      <c r="K283" s="1236"/>
      <c r="L283" s="1239"/>
      <c r="M283" s="1294"/>
      <c r="N283" s="571" t="s">
        <v>140</v>
      </c>
      <c r="O283" s="155"/>
      <c r="P283" s="591" t="str">
        <f>IFERROR(VLOOKUP(K281,【参考】数式用!$A$5:$J$27,MATCH(O283,【参考】数式用!$B$4:$J$4,0)+1,0),"")</f>
        <v/>
      </c>
      <c r="Q283" s="153"/>
      <c r="R283" s="572" t="str">
        <f>IFERROR(VLOOKUP(K281,【参考】数式用!$A$5:$J$27,MATCH(Q283,【参考】数式用!$B$4:$J$4,0)+1,0),"")</f>
        <v/>
      </c>
      <c r="S283" s="573" t="s">
        <v>19</v>
      </c>
      <c r="T283" s="574">
        <v>6</v>
      </c>
      <c r="U283" s="575" t="s">
        <v>10</v>
      </c>
      <c r="V283" s="110">
        <v>4</v>
      </c>
      <c r="W283" s="575" t="s">
        <v>45</v>
      </c>
      <c r="X283" s="574">
        <v>6</v>
      </c>
      <c r="Y283" s="575" t="s">
        <v>10</v>
      </c>
      <c r="Z283" s="110">
        <v>5</v>
      </c>
      <c r="AA283" s="575" t="s">
        <v>13</v>
      </c>
      <c r="AB283" s="576" t="s">
        <v>24</v>
      </c>
      <c r="AC283" s="577">
        <f t="shared" si="295"/>
        <v>2</v>
      </c>
      <c r="AD283" s="575" t="s">
        <v>38</v>
      </c>
      <c r="AE283" s="590" t="str">
        <f>IFERROR(ROUNDDOWN(ROUND(L281*R283,0)*M281,0)*AC283,"")</f>
        <v/>
      </c>
      <c r="AF283" s="579" t="str">
        <f>IFERROR(ROUNDDOWN(ROUND(L281*(R283-P283),0)*M281,0)*AC283,"")</f>
        <v/>
      </c>
      <c r="AG283" s="580">
        <f t="shared" si="336"/>
        <v>0</v>
      </c>
      <c r="AH283" s="459"/>
      <c r="AI283" s="460"/>
      <c r="AJ283" s="461"/>
      <c r="AK283" s="462"/>
      <c r="AL283" s="463"/>
      <c r="AM283" s="464"/>
      <c r="AN283" s="581" t="str">
        <f t="shared" ref="AN283" si="377">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82" t="str">
        <f>IF(K281&lt;&gt;"","P列・R列に色付け","")</f>
        <v/>
      </c>
      <c r="AQ283" s="583"/>
      <c r="AR283" s="583"/>
      <c r="AX283" s="584"/>
      <c r="AY283" s="543" t="str">
        <f>G281</f>
        <v/>
      </c>
    </row>
    <row r="284" spans="1:51" ht="32.1" customHeight="1">
      <c r="A284" s="1225">
        <v>91</v>
      </c>
      <c r="B284" s="1222" t="str">
        <f>IF(基本情報入力シート!C144="","",基本情報入力シート!C144)</f>
        <v/>
      </c>
      <c r="C284" s="1222"/>
      <c r="D284" s="1222"/>
      <c r="E284" s="1222"/>
      <c r="F284" s="1222"/>
      <c r="G284" s="1234" t="str">
        <f>IF(基本情報入力シート!M144="","",基本情報入力シート!M144)</f>
        <v/>
      </c>
      <c r="H284" s="1234" t="str">
        <f>IF(基本情報入力シート!R144="","",基本情報入力シート!R144)</f>
        <v/>
      </c>
      <c r="I284" s="1234" t="str">
        <f>IF(基本情報入力シート!W144="","",基本情報入力シート!W144)</f>
        <v/>
      </c>
      <c r="J284" s="1234" t="str">
        <f>IF(基本情報入力シート!X144="","",基本情報入力シート!X144)</f>
        <v/>
      </c>
      <c r="K284" s="1234" t="str">
        <f>IF(基本情報入力シート!Y144="","",基本情報入力シート!Y144)</f>
        <v/>
      </c>
      <c r="L284" s="1237" t="str">
        <f>IF(基本情報入力シート!AB144="","",基本情報入力シート!AB144)</f>
        <v/>
      </c>
      <c r="M284" s="1292" t="str">
        <f>IF(基本情報入力シート!AC144="","",基本情報入力シート!AC144)</f>
        <v/>
      </c>
      <c r="N284" s="547" t="s">
        <v>183</v>
      </c>
      <c r="O284" s="151"/>
      <c r="P284" s="548" t="str">
        <f>IFERROR(VLOOKUP(K284,【参考】数式用!$A$5:$J$27,MATCH(O284,【参考】数式用!$B$4:$J$4,0)+1,0),"")</f>
        <v/>
      </c>
      <c r="Q284" s="151"/>
      <c r="R284" s="548" t="str">
        <f>IFERROR(VLOOKUP(K284,【参考】数式用!$A$5:$J$27,MATCH(Q284,【参考】数式用!$B$4:$J$4,0)+1,0),"")</f>
        <v/>
      </c>
      <c r="S284" s="549" t="s">
        <v>19</v>
      </c>
      <c r="T284" s="550">
        <v>6</v>
      </c>
      <c r="U284" s="202" t="s">
        <v>10</v>
      </c>
      <c r="V284" s="71">
        <v>4</v>
      </c>
      <c r="W284" s="202" t="s">
        <v>45</v>
      </c>
      <c r="X284" s="550">
        <v>6</v>
      </c>
      <c r="Y284" s="202" t="s">
        <v>10</v>
      </c>
      <c r="Z284" s="71">
        <v>5</v>
      </c>
      <c r="AA284" s="202" t="s">
        <v>13</v>
      </c>
      <c r="AB284" s="551" t="s">
        <v>24</v>
      </c>
      <c r="AC284" s="552">
        <f t="shared" si="295"/>
        <v>2</v>
      </c>
      <c r="AD284" s="202" t="s">
        <v>38</v>
      </c>
      <c r="AE284" s="553" t="str">
        <f>IFERROR(ROUNDDOWN(ROUND(L284*R284,0)*M284,0)*AC284,"")</f>
        <v/>
      </c>
      <c r="AF284" s="554" t="str">
        <f>IFERROR(ROUNDDOWN(ROUND(L284*(R284-P284),0)*M284,0)*AC284,"")</f>
        <v/>
      </c>
      <c r="AG284" s="555"/>
      <c r="AH284" s="465"/>
      <c r="AI284" s="473"/>
      <c r="AJ284" s="470"/>
      <c r="AK284" s="471"/>
      <c r="AL284" s="451"/>
      <c r="AM284" s="452"/>
      <c r="AN284" s="556" t="str">
        <f t="shared" ref="AN284" si="378">IF(AP284="","",IF(R284&lt;P284,"！加算の要件上は問題ありませんが、令和６年３月と比較して４・５月に加算率が下がる計画になっています。",""))</f>
        <v/>
      </c>
      <c r="AP284" s="557" t="str">
        <f>IF(K284&lt;&gt;"","P列・R列に色付け","")</f>
        <v/>
      </c>
      <c r="AQ284" s="558" t="str">
        <f>IFERROR(VLOOKUP(K284,【参考】数式用!$AJ$2:$AK$24,2,FALSE),"")</f>
        <v/>
      </c>
      <c r="AR284" s="560" t="str">
        <f>Q284&amp;Q285&amp;Q286</f>
        <v/>
      </c>
      <c r="AS284" s="558" t="str">
        <f t="shared" ref="AS284" si="379">IF(AG286&lt;&gt;0,IF(AH286="○","入力済","未入力"),"")</f>
        <v/>
      </c>
      <c r="AT284" s="559" t="str">
        <f>IF(OR(Q284="処遇加算Ⅰ",Q284="処遇加算Ⅱ"),IF(OR(AI284="○",AI284="令和６年度中に満たす"),"入力済","未入力"),"")</f>
        <v/>
      </c>
      <c r="AU284" s="560" t="str">
        <f>IF(Q284="処遇加算Ⅲ",IF(AJ284="○","入力済","未入力"),"")</f>
        <v/>
      </c>
      <c r="AV284" s="558" t="str">
        <f>IF(Q284="処遇加算Ⅰ",IF(OR(AK284="○",AK284="令和６年度中に満たす"),"入力済","未入力"),"")</f>
        <v/>
      </c>
      <c r="AW284" s="558"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43" t="str">
        <f>IF(Q285="特定加算Ⅰ",IF(AM285="","未入力","入力済"),"")</f>
        <v/>
      </c>
      <c r="AY284" s="543" t="str">
        <f>G284</f>
        <v/>
      </c>
    </row>
    <row r="285" spans="1:51" ht="32.1" customHeight="1">
      <c r="A285" s="1226"/>
      <c r="B285" s="1223"/>
      <c r="C285" s="1223"/>
      <c r="D285" s="1223"/>
      <c r="E285" s="1223"/>
      <c r="F285" s="1223"/>
      <c r="G285" s="1235"/>
      <c r="H285" s="1235"/>
      <c r="I285" s="1235"/>
      <c r="J285" s="1235"/>
      <c r="K285" s="1235"/>
      <c r="L285" s="1238"/>
      <c r="M285" s="1293"/>
      <c r="N285" s="561" t="s">
        <v>170</v>
      </c>
      <c r="O285" s="152"/>
      <c r="P285" s="562" t="str">
        <f>IFERROR(VLOOKUP(K284,【参考】数式用!$A$5:$J$27,MATCH(O285,【参考】数式用!$B$4:$J$4,0)+1,0),"")</f>
        <v/>
      </c>
      <c r="Q285" s="152"/>
      <c r="R285" s="562" t="str">
        <f>IFERROR(VLOOKUP(K284,【参考】数式用!$A$5:$J$27,MATCH(Q285,【参考】数式用!$B$4:$J$4,0)+1,0),"")</f>
        <v/>
      </c>
      <c r="S285" s="173" t="s">
        <v>19</v>
      </c>
      <c r="T285" s="563">
        <v>6</v>
      </c>
      <c r="U285" s="174" t="s">
        <v>10</v>
      </c>
      <c r="V285" s="109">
        <v>4</v>
      </c>
      <c r="W285" s="174" t="s">
        <v>45</v>
      </c>
      <c r="X285" s="563">
        <v>6</v>
      </c>
      <c r="Y285" s="174" t="s">
        <v>10</v>
      </c>
      <c r="Z285" s="109">
        <v>5</v>
      </c>
      <c r="AA285" s="174" t="s">
        <v>13</v>
      </c>
      <c r="AB285" s="564" t="s">
        <v>24</v>
      </c>
      <c r="AC285" s="565">
        <f t="shared" si="295"/>
        <v>2</v>
      </c>
      <c r="AD285" s="174" t="s">
        <v>38</v>
      </c>
      <c r="AE285" s="566" t="str">
        <f>IFERROR(ROUNDDOWN(ROUND(L284*R285,0)*M284,0)*AC285,"")</f>
        <v/>
      </c>
      <c r="AF285" s="567" t="str">
        <f>IFERROR(ROUNDDOWN(ROUND(L284*(R285-P285),0)*M284,0)*AC285,"")</f>
        <v/>
      </c>
      <c r="AG285" s="568"/>
      <c r="AH285" s="453"/>
      <c r="AI285" s="454"/>
      <c r="AJ285" s="455"/>
      <c r="AK285" s="456"/>
      <c r="AL285" s="457"/>
      <c r="AM285" s="458"/>
      <c r="AN285" s="569" t="str">
        <f t="shared" ref="AN285" si="380">IF(AP284="","",IF(OR(Z284=4,Z285=4,Z286=4),"！加算の要件上は問題ありませんが、算定期間の終わりが令和６年５月になっていません。区分変更の場合は、「基本情報入力シート」で同じ事業所を２行に分けて記入してください。",""))</f>
        <v/>
      </c>
      <c r="AO285" s="570"/>
      <c r="AP285" s="557" t="str">
        <f>IF(K284&lt;&gt;"","P列・R列に色付け","")</f>
        <v/>
      </c>
      <c r="AY285" s="543" t="str">
        <f>G284</f>
        <v/>
      </c>
    </row>
    <row r="286" spans="1:51" ht="32.1" customHeight="1" thickBot="1">
      <c r="A286" s="1227"/>
      <c r="B286" s="1224"/>
      <c r="C286" s="1224"/>
      <c r="D286" s="1224"/>
      <c r="E286" s="1224"/>
      <c r="F286" s="1224"/>
      <c r="G286" s="1236"/>
      <c r="H286" s="1236"/>
      <c r="I286" s="1236"/>
      <c r="J286" s="1236"/>
      <c r="K286" s="1236"/>
      <c r="L286" s="1239"/>
      <c r="M286" s="1294"/>
      <c r="N286" s="571" t="s">
        <v>140</v>
      </c>
      <c r="O286" s="155"/>
      <c r="P286" s="591" t="str">
        <f>IFERROR(VLOOKUP(K284,【参考】数式用!$A$5:$J$27,MATCH(O286,【参考】数式用!$B$4:$J$4,0)+1,0),"")</f>
        <v/>
      </c>
      <c r="Q286" s="153"/>
      <c r="R286" s="572" t="str">
        <f>IFERROR(VLOOKUP(K284,【参考】数式用!$A$5:$J$27,MATCH(Q286,【参考】数式用!$B$4:$J$4,0)+1,0),"")</f>
        <v/>
      </c>
      <c r="S286" s="573" t="s">
        <v>19</v>
      </c>
      <c r="T286" s="574">
        <v>6</v>
      </c>
      <c r="U286" s="575" t="s">
        <v>10</v>
      </c>
      <c r="V286" s="110">
        <v>4</v>
      </c>
      <c r="W286" s="575" t="s">
        <v>45</v>
      </c>
      <c r="X286" s="574">
        <v>6</v>
      </c>
      <c r="Y286" s="575" t="s">
        <v>10</v>
      </c>
      <c r="Z286" s="110">
        <v>5</v>
      </c>
      <c r="AA286" s="575" t="s">
        <v>13</v>
      </c>
      <c r="AB286" s="576" t="s">
        <v>24</v>
      </c>
      <c r="AC286" s="577">
        <f t="shared" si="295"/>
        <v>2</v>
      </c>
      <c r="AD286" s="575" t="s">
        <v>38</v>
      </c>
      <c r="AE286" s="590" t="str">
        <f>IFERROR(ROUNDDOWN(ROUND(L284*R286,0)*M284,0)*AC286,"")</f>
        <v/>
      </c>
      <c r="AF286" s="579" t="str">
        <f>IFERROR(ROUNDDOWN(ROUND(L284*(R286-P286),0)*M284,0)*AC286,"")</f>
        <v/>
      </c>
      <c r="AG286" s="580">
        <f t="shared" si="336"/>
        <v>0</v>
      </c>
      <c r="AH286" s="459"/>
      <c r="AI286" s="460"/>
      <c r="AJ286" s="461"/>
      <c r="AK286" s="462"/>
      <c r="AL286" s="463"/>
      <c r="AM286" s="464"/>
      <c r="AN286" s="581" t="str">
        <f t="shared" ref="AN286" si="38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82" t="str">
        <f>IF(K284&lt;&gt;"","P列・R列に色付け","")</f>
        <v/>
      </c>
      <c r="AQ286" s="583"/>
      <c r="AR286" s="583"/>
      <c r="AX286" s="584"/>
      <c r="AY286" s="543" t="str">
        <f>G284</f>
        <v/>
      </c>
    </row>
    <row r="287" spans="1:51" ht="32.1" customHeight="1">
      <c r="A287" s="1225">
        <v>92</v>
      </c>
      <c r="B287" s="1222" t="str">
        <f>IF(基本情報入力シート!C145="","",基本情報入力シート!C145)</f>
        <v/>
      </c>
      <c r="C287" s="1222"/>
      <c r="D287" s="1222"/>
      <c r="E287" s="1222"/>
      <c r="F287" s="1222"/>
      <c r="G287" s="1234" t="str">
        <f>IF(基本情報入力シート!M145="","",基本情報入力シート!M145)</f>
        <v/>
      </c>
      <c r="H287" s="1234" t="str">
        <f>IF(基本情報入力シート!R145="","",基本情報入力シート!R145)</f>
        <v/>
      </c>
      <c r="I287" s="1234" t="str">
        <f>IF(基本情報入力シート!W145="","",基本情報入力シート!W145)</f>
        <v/>
      </c>
      <c r="J287" s="1234" t="str">
        <f>IF(基本情報入力シート!X145="","",基本情報入力シート!X145)</f>
        <v/>
      </c>
      <c r="K287" s="1234" t="str">
        <f>IF(基本情報入力シート!Y145="","",基本情報入力シート!Y145)</f>
        <v/>
      </c>
      <c r="L287" s="1237" t="str">
        <f>IF(基本情報入力シート!AB145="","",基本情報入力シート!AB145)</f>
        <v/>
      </c>
      <c r="M287" s="1292" t="str">
        <f>IF(基本情報入力シート!AC145="","",基本情報入力シート!AC145)</f>
        <v/>
      </c>
      <c r="N287" s="547" t="s">
        <v>183</v>
      </c>
      <c r="O287" s="151"/>
      <c r="P287" s="548" t="str">
        <f>IFERROR(VLOOKUP(K287,【参考】数式用!$A$5:$J$27,MATCH(O287,【参考】数式用!$B$4:$J$4,0)+1,0),"")</f>
        <v/>
      </c>
      <c r="Q287" s="151"/>
      <c r="R287" s="548" t="str">
        <f>IFERROR(VLOOKUP(K287,【参考】数式用!$A$5:$J$27,MATCH(Q287,【参考】数式用!$B$4:$J$4,0)+1,0),"")</f>
        <v/>
      </c>
      <c r="S287" s="549" t="s">
        <v>19</v>
      </c>
      <c r="T287" s="550">
        <v>6</v>
      </c>
      <c r="U287" s="202" t="s">
        <v>10</v>
      </c>
      <c r="V287" s="71">
        <v>4</v>
      </c>
      <c r="W287" s="202" t="s">
        <v>45</v>
      </c>
      <c r="X287" s="550">
        <v>6</v>
      </c>
      <c r="Y287" s="202" t="s">
        <v>10</v>
      </c>
      <c r="Z287" s="71">
        <v>5</v>
      </c>
      <c r="AA287" s="202" t="s">
        <v>13</v>
      </c>
      <c r="AB287" s="551" t="s">
        <v>24</v>
      </c>
      <c r="AC287" s="552">
        <f t="shared" ref="AC287:AC313" si="382">IF(V287&gt;=1,(X287*12+Z287)-(T287*12+V287)+1,"")</f>
        <v>2</v>
      </c>
      <c r="AD287" s="202" t="s">
        <v>38</v>
      </c>
      <c r="AE287" s="553" t="str">
        <f>IFERROR(ROUNDDOWN(ROUND(L287*R287,0)*M287,0)*AC287,"")</f>
        <v/>
      </c>
      <c r="AF287" s="554" t="str">
        <f>IFERROR(ROUNDDOWN(ROUND(L287*(R287-P287),0)*M287,0)*AC287,"")</f>
        <v/>
      </c>
      <c r="AG287" s="555"/>
      <c r="AH287" s="465"/>
      <c r="AI287" s="473"/>
      <c r="AJ287" s="470"/>
      <c r="AK287" s="471"/>
      <c r="AL287" s="451"/>
      <c r="AM287" s="452"/>
      <c r="AN287" s="556" t="str">
        <f t="shared" ref="AN287" si="383">IF(AP287="","",IF(R287&lt;P287,"！加算の要件上は問題ありませんが、令和６年３月と比較して４・５月に加算率が下がる計画になっています。",""))</f>
        <v/>
      </c>
      <c r="AP287" s="557" t="str">
        <f>IF(K287&lt;&gt;"","P列・R列に色付け","")</f>
        <v/>
      </c>
      <c r="AQ287" s="558" t="str">
        <f>IFERROR(VLOOKUP(K287,【参考】数式用!$AJ$2:$AK$24,2,FALSE),"")</f>
        <v/>
      </c>
      <c r="AR287" s="560" t="str">
        <f>Q287&amp;Q288&amp;Q289</f>
        <v/>
      </c>
      <c r="AS287" s="558" t="str">
        <f t="shared" ref="AS287" si="384">IF(AG289&lt;&gt;0,IF(AH289="○","入力済","未入力"),"")</f>
        <v/>
      </c>
      <c r="AT287" s="559" t="str">
        <f>IF(OR(Q287="処遇加算Ⅰ",Q287="処遇加算Ⅱ"),IF(OR(AI287="○",AI287="令和６年度中に満たす"),"入力済","未入力"),"")</f>
        <v/>
      </c>
      <c r="AU287" s="560" t="str">
        <f>IF(Q287="処遇加算Ⅲ",IF(AJ287="○","入力済","未入力"),"")</f>
        <v/>
      </c>
      <c r="AV287" s="558" t="str">
        <f>IF(Q287="処遇加算Ⅰ",IF(OR(AK287="○",AK287="令和６年度中に満たす"),"入力済","未入力"),"")</f>
        <v/>
      </c>
      <c r="AW287" s="558"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43" t="str">
        <f>IF(Q288="特定加算Ⅰ",IF(AM288="","未入力","入力済"),"")</f>
        <v/>
      </c>
      <c r="AY287" s="543" t="str">
        <f>G287</f>
        <v/>
      </c>
    </row>
    <row r="288" spans="1:51" ht="32.1" customHeight="1">
      <c r="A288" s="1226"/>
      <c r="B288" s="1223"/>
      <c r="C288" s="1223"/>
      <c r="D288" s="1223"/>
      <c r="E288" s="1223"/>
      <c r="F288" s="1223"/>
      <c r="G288" s="1235"/>
      <c r="H288" s="1235"/>
      <c r="I288" s="1235"/>
      <c r="J288" s="1235"/>
      <c r="K288" s="1235"/>
      <c r="L288" s="1238"/>
      <c r="M288" s="1293"/>
      <c r="N288" s="561" t="s">
        <v>170</v>
      </c>
      <c r="O288" s="152"/>
      <c r="P288" s="562" t="str">
        <f>IFERROR(VLOOKUP(K287,【参考】数式用!$A$5:$J$27,MATCH(O288,【参考】数式用!$B$4:$J$4,0)+1,0),"")</f>
        <v/>
      </c>
      <c r="Q288" s="152"/>
      <c r="R288" s="562" t="str">
        <f>IFERROR(VLOOKUP(K287,【参考】数式用!$A$5:$J$27,MATCH(Q288,【参考】数式用!$B$4:$J$4,0)+1,0),"")</f>
        <v/>
      </c>
      <c r="S288" s="173" t="s">
        <v>19</v>
      </c>
      <c r="T288" s="563">
        <v>6</v>
      </c>
      <c r="U288" s="174" t="s">
        <v>10</v>
      </c>
      <c r="V288" s="109">
        <v>4</v>
      </c>
      <c r="W288" s="174" t="s">
        <v>45</v>
      </c>
      <c r="X288" s="563">
        <v>6</v>
      </c>
      <c r="Y288" s="174" t="s">
        <v>10</v>
      </c>
      <c r="Z288" s="109">
        <v>5</v>
      </c>
      <c r="AA288" s="174" t="s">
        <v>13</v>
      </c>
      <c r="AB288" s="564" t="s">
        <v>24</v>
      </c>
      <c r="AC288" s="565">
        <f t="shared" si="382"/>
        <v>2</v>
      </c>
      <c r="AD288" s="174" t="s">
        <v>38</v>
      </c>
      <c r="AE288" s="566" t="str">
        <f>IFERROR(ROUNDDOWN(ROUND(L287*R288,0)*M287,0)*AC288,"")</f>
        <v/>
      </c>
      <c r="AF288" s="567" t="str">
        <f>IFERROR(ROUNDDOWN(ROUND(L287*(R288-P288),0)*M287,0)*AC288,"")</f>
        <v/>
      </c>
      <c r="AG288" s="568"/>
      <c r="AH288" s="453"/>
      <c r="AI288" s="454"/>
      <c r="AJ288" s="455"/>
      <c r="AK288" s="456"/>
      <c r="AL288" s="457"/>
      <c r="AM288" s="458"/>
      <c r="AN288" s="569" t="str">
        <f t="shared" ref="AN288" si="385">IF(AP287="","",IF(OR(Z287=4,Z288=4,Z289=4),"！加算の要件上は問題ありませんが、算定期間の終わりが令和６年５月になっていません。区分変更の場合は、「基本情報入力シート」で同じ事業所を２行に分けて記入してください。",""))</f>
        <v/>
      </c>
      <c r="AO288" s="570"/>
      <c r="AP288" s="557" t="str">
        <f>IF(K287&lt;&gt;"","P列・R列に色付け","")</f>
        <v/>
      </c>
      <c r="AY288" s="543" t="str">
        <f>G287</f>
        <v/>
      </c>
    </row>
    <row r="289" spans="1:51" ht="32.1" customHeight="1" thickBot="1">
      <c r="A289" s="1227"/>
      <c r="B289" s="1224"/>
      <c r="C289" s="1224"/>
      <c r="D289" s="1224"/>
      <c r="E289" s="1224"/>
      <c r="F289" s="1224"/>
      <c r="G289" s="1236"/>
      <c r="H289" s="1236"/>
      <c r="I289" s="1236"/>
      <c r="J289" s="1236"/>
      <c r="K289" s="1236"/>
      <c r="L289" s="1239"/>
      <c r="M289" s="1294"/>
      <c r="N289" s="571" t="s">
        <v>140</v>
      </c>
      <c r="O289" s="155"/>
      <c r="P289" s="591" t="str">
        <f>IFERROR(VLOOKUP(K287,【参考】数式用!$A$5:$J$27,MATCH(O289,【参考】数式用!$B$4:$J$4,0)+1,0),"")</f>
        <v/>
      </c>
      <c r="Q289" s="153"/>
      <c r="R289" s="572" t="str">
        <f>IFERROR(VLOOKUP(K287,【参考】数式用!$A$5:$J$27,MATCH(Q289,【参考】数式用!$B$4:$J$4,0)+1,0),"")</f>
        <v/>
      </c>
      <c r="S289" s="573" t="s">
        <v>19</v>
      </c>
      <c r="T289" s="574">
        <v>6</v>
      </c>
      <c r="U289" s="575" t="s">
        <v>10</v>
      </c>
      <c r="V289" s="110">
        <v>4</v>
      </c>
      <c r="W289" s="575" t="s">
        <v>45</v>
      </c>
      <c r="X289" s="574">
        <v>6</v>
      </c>
      <c r="Y289" s="575" t="s">
        <v>10</v>
      </c>
      <c r="Z289" s="110">
        <v>5</v>
      </c>
      <c r="AA289" s="575" t="s">
        <v>13</v>
      </c>
      <c r="AB289" s="576" t="s">
        <v>24</v>
      </c>
      <c r="AC289" s="577">
        <f t="shared" si="382"/>
        <v>2</v>
      </c>
      <c r="AD289" s="575" t="s">
        <v>38</v>
      </c>
      <c r="AE289" s="590" t="str">
        <f>IFERROR(ROUNDDOWN(ROUND(L287*R289,0)*M287,0)*AC289,"")</f>
        <v/>
      </c>
      <c r="AF289" s="579" t="str">
        <f>IFERROR(ROUNDDOWN(ROUND(L287*(R289-P289),0)*M287,0)*AC289,"")</f>
        <v/>
      </c>
      <c r="AG289" s="580">
        <f t="shared" si="336"/>
        <v>0</v>
      </c>
      <c r="AH289" s="459"/>
      <c r="AI289" s="460"/>
      <c r="AJ289" s="461"/>
      <c r="AK289" s="462"/>
      <c r="AL289" s="463"/>
      <c r="AM289" s="464"/>
      <c r="AN289" s="581" t="str">
        <f t="shared" ref="AN289" si="386">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82" t="str">
        <f>IF(K287&lt;&gt;"","P列・R列に色付け","")</f>
        <v/>
      </c>
      <c r="AQ289" s="583"/>
      <c r="AR289" s="583"/>
      <c r="AX289" s="584"/>
      <c r="AY289" s="543" t="str">
        <f>G287</f>
        <v/>
      </c>
    </row>
    <row r="290" spans="1:51" ht="32.1" customHeight="1">
      <c r="A290" s="1225">
        <v>93</v>
      </c>
      <c r="B290" s="1222" t="str">
        <f>IF(基本情報入力シート!C146="","",基本情報入力シート!C146)</f>
        <v/>
      </c>
      <c r="C290" s="1222"/>
      <c r="D290" s="1222"/>
      <c r="E290" s="1222"/>
      <c r="F290" s="1222"/>
      <c r="G290" s="1234" t="str">
        <f>IF(基本情報入力シート!M146="","",基本情報入力シート!M146)</f>
        <v/>
      </c>
      <c r="H290" s="1234" t="str">
        <f>IF(基本情報入力シート!R146="","",基本情報入力シート!R146)</f>
        <v/>
      </c>
      <c r="I290" s="1234" t="str">
        <f>IF(基本情報入力シート!W146="","",基本情報入力シート!W146)</f>
        <v/>
      </c>
      <c r="J290" s="1234" t="str">
        <f>IF(基本情報入力シート!X146="","",基本情報入力シート!X146)</f>
        <v/>
      </c>
      <c r="K290" s="1234" t="str">
        <f>IF(基本情報入力シート!Y146="","",基本情報入力シート!Y146)</f>
        <v/>
      </c>
      <c r="L290" s="1237" t="str">
        <f>IF(基本情報入力シート!AB146="","",基本情報入力シート!AB146)</f>
        <v/>
      </c>
      <c r="M290" s="1292" t="str">
        <f>IF(基本情報入力シート!AC146="","",基本情報入力シート!AC146)</f>
        <v/>
      </c>
      <c r="N290" s="547" t="s">
        <v>183</v>
      </c>
      <c r="O290" s="151"/>
      <c r="P290" s="548" t="str">
        <f>IFERROR(VLOOKUP(K290,【参考】数式用!$A$5:$J$27,MATCH(O290,【参考】数式用!$B$4:$J$4,0)+1,0),"")</f>
        <v/>
      </c>
      <c r="Q290" s="151"/>
      <c r="R290" s="548" t="str">
        <f>IFERROR(VLOOKUP(K290,【参考】数式用!$A$5:$J$27,MATCH(Q290,【参考】数式用!$B$4:$J$4,0)+1,0),"")</f>
        <v/>
      </c>
      <c r="S290" s="549" t="s">
        <v>19</v>
      </c>
      <c r="T290" s="550">
        <v>6</v>
      </c>
      <c r="U290" s="202" t="s">
        <v>10</v>
      </c>
      <c r="V290" s="71">
        <v>4</v>
      </c>
      <c r="W290" s="202" t="s">
        <v>45</v>
      </c>
      <c r="X290" s="550">
        <v>6</v>
      </c>
      <c r="Y290" s="202" t="s">
        <v>10</v>
      </c>
      <c r="Z290" s="71">
        <v>5</v>
      </c>
      <c r="AA290" s="202" t="s">
        <v>13</v>
      </c>
      <c r="AB290" s="551" t="s">
        <v>24</v>
      </c>
      <c r="AC290" s="552">
        <f t="shared" si="382"/>
        <v>2</v>
      </c>
      <c r="AD290" s="202" t="s">
        <v>38</v>
      </c>
      <c r="AE290" s="553" t="str">
        <f>IFERROR(ROUNDDOWN(ROUND(L290*R290,0)*M290,0)*AC290,"")</f>
        <v/>
      </c>
      <c r="AF290" s="554" t="str">
        <f>IFERROR(ROUNDDOWN(ROUND(L290*(R290-P290),0)*M290,0)*AC290,"")</f>
        <v/>
      </c>
      <c r="AG290" s="555"/>
      <c r="AH290" s="465"/>
      <c r="AI290" s="473"/>
      <c r="AJ290" s="470"/>
      <c r="AK290" s="471"/>
      <c r="AL290" s="451"/>
      <c r="AM290" s="452"/>
      <c r="AN290" s="556" t="str">
        <f t="shared" ref="AN290" si="387">IF(AP290="","",IF(R290&lt;P290,"！加算の要件上は問題ありませんが、令和６年３月と比較して４・５月に加算率が下がる計画になっています。",""))</f>
        <v/>
      </c>
      <c r="AP290" s="557" t="str">
        <f>IF(K290&lt;&gt;"","P列・R列に色付け","")</f>
        <v/>
      </c>
      <c r="AQ290" s="558" t="str">
        <f>IFERROR(VLOOKUP(K290,【参考】数式用!$AJ$2:$AK$24,2,FALSE),"")</f>
        <v/>
      </c>
      <c r="AR290" s="560" t="str">
        <f>Q290&amp;Q291&amp;Q292</f>
        <v/>
      </c>
      <c r="AS290" s="558" t="str">
        <f t="shared" ref="AS290" si="388">IF(AG292&lt;&gt;0,IF(AH292="○","入力済","未入力"),"")</f>
        <v/>
      </c>
      <c r="AT290" s="559" t="str">
        <f>IF(OR(Q290="処遇加算Ⅰ",Q290="処遇加算Ⅱ"),IF(OR(AI290="○",AI290="令和６年度中に満たす"),"入力済","未入力"),"")</f>
        <v/>
      </c>
      <c r="AU290" s="560" t="str">
        <f>IF(Q290="処遇加算Ⅲ",IF(AJ290="○","入力済","未入力"),"")</f>
        <v/>
      </c>
      <c r="AV290" s="558" t="str">
        <f>IF(Q290="処遇加算Ⅰ",IF(OR(AK290="○",AK290="令和６年度中に満たす"),"入力済","未入力"),"")</f>
        <v/>
      </c>
      <c r="AW290" s="558"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43" t="str">
        <f>IF(Q291="特定加算Ⅰ",IF(AM291="","未入力","入力済"),"")</f>
        <v/>
      </c>
      <c r="AY290" s="543" t="str">
        <f>G290</f>
        <v/>
      </c>
    </row>
    <row r="291" spans="1:51" ht="32.1" customHeight="1">
      <c r="A291" s="1226"/>
      <c r="B291" s="1223"/>
      <c r="C291" s="1223"/>
      <c r="D291" s="1223"/>
      <c r="E291" s="1223"/>
      <c r="F291" s="1223"/>
      <c r="G291" s="1235"/>
      <c r="H291" s="1235"/>
      <c r="I291" s="1235"/>
      <c r="J291" s="1235"/>
      <c r="K291" s="1235"/>
      <c r="L291" s="1238"/>
      <c r="M291" s="1293"/>
      <c r="N291" s="561" t="s">
        <v>170</v>
      </c>
      <c r="O291" s="152"/>
      <c r="P291" s="562" t="str">
        <f>IFERROR(VLOOKUP(K290,【参考】数式用!$A$5:$J$27,MATCH(O291,【参考】数式用!$B$4:$J$4,0)+1,0),"")</f>
        <v/>
      </c>
      <c r="Q291" s="152"/>
      <c r="R291" s="562" t="str">
        <f>IFERROR(VLOOKUP(K290,【参考】数式用!$A$5:$J$27,MATCH(Q291,【参考】数式用!$B$4:$J$4,0)+1,0),"")</f>
        <v/>
      </c>
      <c r="S291" s="173" t="s">
        <v>19</v>
      </c>
      <c r="T291" s="563">
        <v>6</v>
      </c>
      <c r="U291" s="174" t="s">
        <v>10</v>
      </c>
      <c r="V291" s="109">
        <v>4</v>
      </c>
      <c r="W291" s="174" t="s">
        <v>45</v>
      </c>
      <c r="X291" s="563">
        <v>6</v>
      </c>
      <c r="Y291" s="174" t="s">
        <v>10</v>
      </c>
      <c r="Z291" s="109">
        <v>5</v>
      </c>
      <c r="AA291" s="174" t="s">
        <v>13</v>
      </c>
      <c r="AB291" s="564" t="s">
        <v>24</v>
      </c>
      <c r="AC291" s="565">
        <f t="shared" si="382"/>
        <v>2</v>
      </c>
      <c r="AD291" s="174" t="s">
        <v>38</v>
      </c>
      <c r="AE291" s="566" t="str">
        <f>IFERROR(ROUNDDOWN(ROUND(L290*R291,0)*M290,0)*AC291,"")</f>
        <v/>
      </c>
      <c r="AF291" s="567" t="str">
        <f>IFERROR(ROUNDDOWN(ROUND(L290*(R291-P291),0)*M290,0)*AC291,"")</f>
        <v/>
      </c>
      <c r="AG291" s="568"/>
      <c r="AH291" s="453"/>
      <c r="AI291" s="454"/>
      <c r="AJ291" s="455"/>
      <c r="AK291" s="456"/>
      <c r="AL291" s="457"/>
      <c r="AM291" s="458"/>
      <c r="AN291" s="569" t="str">
        <f t="shared" ref="AN291" si="389">IF(AP290="","",IF(OR(Z290=4,Z291=4,Z292=4),"！加算の要件上は問題ありませんが、算定期間の終わりが令和６年５月になっていません。区分変更の場合は、「基本情報入力シート」で同じ事業所を２行に分けて記入してください。",""))</f>
        <v/>
      </c>
      <c r="AO291" s="570"/>
      <c r="AP291" s="557" t="str">
        <f>IF(K290&lt;&gt;"","P列・R列に色付け","")</f>
        <v/>
      </c>
      <c r="AY291" s="543" t="str">
        <f>G290</f>
        <v/>
      </c>
    </row>
    <row r="292" spans="1:51" ht="32.1" customHeight="1" thickBot="1">
      <c r="A292" s="1227"/>
      <c r="B292" s="1224"/>
      <c r="C292" s="1224"/>
      <c r="D292" s="1224"/>
      <c r="E292" s="1224"/>
      <c r="F292" s="1224"/>
      <c r="G292" s="1236"/>
      <c r="H292" s="1236"/>
      <c r="I292" s="1236"/>
      <c r="J292" s="1236"/>
      <c r="K292" s="1236"/>
      <c r="L292" s="1239"/>
      <c r="M292" s="1294"/>
      <c r="N292" s="571" t="s">
        <v>140</v>
      </c>
      <c r="O292" s="155"/>
      <c r="P292" s="591" t="str">
        <f>IFERROR(VLOOKUP(K290,【参考】数式用!$A$5:$J$27,MATCH(O292,【参考】数式用!$B$4:$J$4,0)+1,0),"")</f>
        <v/>
      </c>
      <c r="Q292" s="153"/>
      <c r="R292" s="572" t="str">
        <f>IFERROR(VLOOKUP(K290,【参考】数式用!$A$5:$J$27,MATCH(Q292,【参考】数式用!$B$4:$J$4,0)+1,0),"")</f>
        <v/>
      </c>
      <c r="S292" s="573" t="s">
        <v>19</v>
      </c>
      <c r="T292" s="574">
        <v>6</v>
      </c>
      <c r="U292" s="575" t="s">
        <v>10</v>
      </c>
      <c r="V292" s="110">
        <v>4</v>
      </c>
      <c r="W292" s="575" t="s">
        <v>45</v>
      </c>
      <c r="X292" s="574">
        <v>6</v>
      </c>
      <c r="Y292" s="575" t="s">
        <v>10</v>
      </c>
      <c r="Z292" s="110">
        <v>5</v>
      </c>
      <c r="AA292" s="575" t="s">
        <v>13</v>
      </c>
      <c r="AB292" s="576" t="s">
        <v>24</v>
      </c>
      <c r="AC292" s="577">
        <f t="shared" si="382"/>
        <v>2</v>
      </c>
      <c r="AD292" s="575" t="s">
        <v>38</v>
      </c>
      <c r="AE292" s="590" t="str">
        <f>IFERROR(ROUNDDOWN(ROUND(L290*R292,0)*M290,0)*AC292,"")</f>
        <v/>
      </c>
      <c r="AF292" s="579" t="str">
        <f>IFERROR(ROUNDDOWN(ROUND(L290*(R292-P292),0)*M290,0)*AC292,"")</f>
        <v/>
      </c>
      <c r="AG292" s="580">
        <f t="shared" si="336"/>
        <v>0</v>
      </c>
      <c r="AH292" s="459"/>
      <c r="AI292" s="460"/>
      <c r="AJ292" s="461"/>
      <c r="AK292" s="462"/>
      <c r="AL292" s="463"/>
      <c r="AM292" s="464"/>
      <c r="AN292" s="581" t="str">
        <f t="shared" ref="AN292" si="390">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82" t="str">
        <f>IF(K290&lt;&gt;"","P列・R列に色付け","")</f>
        <v/>
      </c>
      <c r="AQ292" s="583"/>
      <c r="AR292" s="583"/>
      <c r="AX292" s="584"/>
      <c r="AY292" s="543" t="str">
        <f>G290</f>
        <v/>
      </c>
    </row>
    <row r="293" spans="1:51" ht="32.1" customHeight="1">
      <c r="A293" s="1225">
        <v>94</v>
      </c>
      <c r="B293" s="1222" t="str">
        <f>IF(基本情報入力シート!C147="","",基本情報入力シート!C147)</f>
        <v/>
      </c>
      <c r="C293" s="1222"/>
      <c r="D293" s="1222"/>
      <c r="E293" s="1222"/>
      <c r="F293" s="1222"/>
      <c r="G293" s="1234" t="str">
        <f>IF(基本情報入力シート!M147="","",基本情報入力シート!M147)</f>
        <v/>
      </c>
      <c r="H293" s="1234" t="str">
        <f>IF(基本情報入力シート!R147="","",基本情報入力シート!R147)</f>
        <v/>
      </c>
      <c r="I293" s="1234" t="str">
        <f>IF(基本情報入力シート!W147="","",基本情報入力シート!W147)</f>
        <v/>
      </c>
      <c r="J293" s="1234" t="str">
        <f>IF(基本情報入力シート!X147="","",基本情報入力シート!X147)</f>
        <v/>
      </c>
      <c r="K293" s="1234" t="str">
        <f>IF(基本情報入力シート!Y147="","",基本情報入力シート!Y147)</f>
        <v/>
      </c>
      <c r="L293" s="1237" t="str">
        <f>IF(基本情報入力シート!AB147="","",基本情報入力シート!AB147)</f>
        <v/>
      </c>
      <c r="M293" s="1292" t="str">
        <f>IF(基本情報入力シート!AC147="","",基本情報入力シート!AC147)</f>
        <v/>
      </c>
      <c r="N293" s="547" t="s">
        <v>183</v>
      </c>
      <c r="O293" s="151"/>
      <c r="P293" s="548" t="str">
        <f>IFERROR(VLOOKUP(K293,【参考】数式用!$A$5:$J$27,MATCH(O293,【参考】数式用!$B$4:$J$4,0)+1,0),"")</f>
        <v/>
      </c>
      <c r="Q293" s="151"/>
      <c r="R293" s="548" t="str">
        <f>IFERROR(VLOOKUP(K293,【参考】数式用!$A$5:$J$27,MATCH(Q293,【参考】数式用!$B$4:$J$4,0)+1,0),"")</f>
        <v/>
      </c>
      <c r="S293" s="549" t="s">
        <v>19</v>
      </c>
      <c r="T293" s="550">
        <v>6</v>
      </c>
      <c r="U293" s="202" t="s">
        <v>10</v>
      </c>
      <c r="V293" s="71">
        <v>4</v>
      </c>
      <c r="W293" s="202" t="s">
        <v>45</v>
      </c>
      <c r="X293" s="550">
        <v>6</v>
      </c>
      <c r="Y293" s="202" t="s">
        <v>10</v>
      </c>
      <c r="Z293" s="71">
        <v>5</v>
      </c>
      <c r="AA293" s="202" t="s">
        <v>13</v>
      </c>
      <c r="AB293" s="551" t="s">
        <v>24</v>
      </c>
      <c r="AC293" s="552">
        <f t="shared" si="382"/>
        <v>2</v>
      </c>
      <c r="AD293" s="202" t="s">
        <v>38</v>
      </c>
      <c r="AE293" s="553" t="str">
        <f>IFERROR(ROUNDDOWN(ROUND(L293*R293,0)*M293,0)*AC293,"")</f>
        <v/>
      </c>
      <c r="AF293" s="554" t="str">
        <f>IFERROR(ROUNDDOWN(ROUND(L293*(R293-P293),0)*M293,0)*AC293,"")</f>
        <v/>
      </c>
      <c r="AG293" s="555"/>
      <c r="AH293" s="465"/>
      <c r="AI293" s="473"/>
      <c r="AJ293" s="470"/>
      <c r="AK293" s="471"/>
      <c r="AL293" s="451"/>
      <c r="AM293" s="452"/>
      <c r="AN293" s="556" t="str">
        <f t="shared" ref="AN293" si="391">IF(AP293="","",IF(R293&lt;P293,"！加算の要件上は問題ありませんが、令和６年３月と比較して４・５月に加算率が下がる計画になっています。",""))</f>
        <v/>
      </c>
      <c r="AP293" s="557" t="str">
        <f>IF(K293&lt;&gt;"","P列・R列に色付け","")</f>
        <v/>
      </c>
      <c r="AQ293" s="558" t="str">
        <f>IFERROR(VLOOKUP(K293,【参考】数式用!$AJ$2:$AK$24,2,FALSE),"")</f>
        <v/>
      </c>
      <c r="AR293" s="560" t="str">
        <f>Q293&amp;Q294&amp;Q295</f>
        <v/>
      </c>
      <c r="AS293" s="558" t="str">
        <f t="shared" ref="AS293" si="392">IF(AG295&lt;&gt;0,IF(AH295="○","入力済","未入力"),"")</f>
        <v/>
      </c>
      <c r="AT293" s="559" t="str">
        <f>IF(OR(Q293="処遇加算Ⅰ",Q293="処遇加算Ⅱ"),IF(OR(AI293="○",AI293="令和６年度中に満たす"),"入力済","未入力"),"")</f>
        <v/>
      </c>
      <c r="AU293" s="560" t="str">
        <f>IF(Q293="処遇加算Ⅲ",IF(AJ293="○","入力済","未入力"),"")</f>
        <v/>
      </c>
      <c r="AV293" s="558" t="str">
        <f>IF(Q293="処遇加算Ⅰ",IF(OR(AK293="○",AK293="令和６年度中に満たす"),"入力済","未入力"),"")</f>
        <v/>
      </c>
      <c r="AW293" s="558"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43" t="str">
        <f>IF(Q294="特定加算Ⅰ",IF(AM294="","未入力","入力済"),"")</f>
        <v/>
      </c>
      <c r="AY293" s="543" t="str">
        <f>G293</f>
        <v/>
      </c>
    </row>
    <row r="294" spans="1:51" ht="32.1" customHeight="1">
      <c r="A294" s="1226"/>
      <c r="B294" s="1223"/>
      <c r="C294" s="1223"/>
      <c r="D294" s="1223"/>
      <c r="E294" s="1223"/>
      <c r="F294" s="1223"/>
      <c r="G294" s="1235"/>
      <c r="H294" s="1235"/>
      <c r="I294" s="1235"/>
      <c r="J294" s="1235"/>
      <c r="K294" s="1235"/>
      <c r="L294" s="1238"/>
      <c r="M294" s="1293"/>
      <c r="N294" s="561" t="s">
        <v>170</v>
      </c>
      <c r="O294" s="152"/>
      <c r="P294" s="562" t="str">
        <f>IFERROR(VLOOKUP(K293,【参考】数式用!$A$5:$J$27,MATCH(O294,【参考】数式用!$B$4:$J$4,0)+1,0),"")</f>
        <v/>
      </c>
      <c r="Q294" s="152"/>
      <c r="R294" s="562" t="str">
        <f>IFERROR(VLOOKUP(K293,【参考】数式用!$A$5:$J$27,MATCH(Q294,【参考】数式用!$B$4:$J$4,0)+1,0),"")</f>
        <v/>
      </c>
      <c r="S294" s="173" t="s">
        <v>19</v>
      </c>
      <c r="T294" s="563">
        <v>6</v>
      </c>
      <c r="U294" s="174" t="s">
        <v>10</v>
      </c>
      <c r="V294" s="109">
        <v>4</v>
      </c>
      <c r="W294" s="174" t="s">
        <v>45</v>
      </c>
      <c r="X294" s="563">
        <v>6</v>
      </c>
      <c r="Y294" s="174" t="s">
        <v>10</v>
      </c>
      <c r="Z294" s="109">
        <v>5</v>
      </c>
      <c r="AA294" s="174" t="s">
        <v>13</v>
      </c>
      <c r="AB294" s="564" t="s">
        <v>24</v>
      </c>
      <c r="AC294" s="565">
        <f t="shared" si="382"/>
        <v>2</v>
      </c>
      <c r="AD294" s="174" t="s">
        <v>38</v>
      </c>
      <c r="AE294" s="566" t="str">
        <f>IFERROR(ROUNDDOWN(ROUND(L293*R294,0)*M293,0)*AC294,"")</f>
        <v/>
      </c>
      <c r="AF294" s="567" t="str">
        <f>IFERROR(ROUNDDOWN(ROUND(L293*(R294-P294),0)*M293,0)*AC294,"")</f>
        <v/>
      </c>
      <c r="AG294" s="568"/>
      <c r="AH294" s="453"/>
      <c r="AI294" s="454"/>
      <c r="AJ294" s="455"/>
      <c r="AK294" s="456"/>
      <c r="AL294" s="457"/>
      <c r="AM294" s="458"/>
      <c r="AN294" s="569" t="str">
        <f t="shared" ref="AN294" si="393">IF(AP293="","",IF(OR(Z293=4,Z294=4,Z295=4),"！加算の要件上は問題ありませんが、算定期間の終わりが令和６年５月になっていません。区分変更の場合は、「基本情報入力シート」で同じ事業所を２行に分けて記入してください。",""))</f>
        <v/>
      </c>
      <c r="AO294" s="570"/>
      <c r="AP294" s="557" t="str">
        <f>IF(K293&lt;&gt;"","P列・R列に色付け","")</f>
        <v/>
      </c>
      <c r="AY294" s="543" t="str">
        <f>G293</f>
        <v/>
      </c>
    </row>
    <row r="295" spans="1:51" ht="32.1" customHeight="1" thickBot="1">
      <c r="A295" s="1227"/>
      <c r="B295" s="1224"/>
      <c r="C295" s="1224"/>
      <c r="D295" s="1224"/>
      <c r="E295" s="1224"/>
      <c r="F295" s="1224"/>
      <c r="G295" s="1236"/>
      <c r="H295" s="1236"/>
      <c r="I295" s="1236"/>
      <c r="J295" s="1236"/>
      <c r="K295" s="1236"/>
      <c r="L295" s="1239"/>
      <c r="M295" s="1294"/>
      <c r="N295" s="571" t="s">
        <v>140</v>
      </c>
      <c r="O295" s="155"/>
      <c r="P295" s="591" t="str">
        <f>IFERROR(VLOOKUP(K293,【参考】数式用!$A$5:$J$27,MATCH(O295,【参考】数式用!$B$4:$J$4,0)+1,0),"")</f>
        <v/>
      </c>
      <c r="Q295" s="153"/>
      <c r="R295" s="572" t="str">
        <f>IFERROR(VLOOKUP(K293,【参考】数式用!$A$5:$J$27,MATCH(Q295,【参考】数式用!$B$4:$J$4,0)+1,0),"")</f>
        <v/>
      </c>
      <c r="S295" s="573" t="s">
        <v>19</v>
      </c>
      <c r="T295" s="574">
        <v>6</v>
      </c>
      <c r="U295" s="575" t="s">
        <v>10</v>
      </c>
      <c r="V295" s="110">
        <v>4</v>
      </c>
      <c r="W295" s="575" t="s">
        <v>45</v>
      </c>
      <c r="X295" s="574">
        <v>6</v>
      </c>
      <c r="Y295" s="575" t="s">
        <v>10</v>
      </c>
      <c r="Z295" s="110">
        <v>5</v>
      </c>
      <c r="AA295" s="575" t="s">
        <v>13</v>
      </c>
      <c r="AB295" s="576" t="s">
        <v>24</v>
      </c>
      <c r="AC295" s="577">
        <f t="shared" si="382"/>
        <v>2</v>
      </c>
      <c r="AD295" s="575" t="s">
        <v>38</v>
      </c>
      <c r="AE295" s="590" t="str">
        <f>IFERROR(ROUNDDOWN(ROUND(L293*R295,0)*M293,0)*AC295,"")</f>
        <v/>
      </c>
      <c r="AF295" s="579" t="str">
        <f>IFERROR(ROUNDDOWN(ROUND(L293*(R295-P295),0)*M293,0)*AC295,"")</f>
        <v/>
      </c>
      <c r="AG295" s="580">
        <f t="shared" si="336"/>
        <v>0</v>
      </c>
      <c r="AH295" s="459"/>
      <c r="AI295" s="460"/>
      <c r="AJ295" s="461"/>
      <c r="AK295" s="462"/>
      <c r="AL295" s="463"/>
      <c r="AM295" s="464"/>
      <c r="AN295" s="581" t="str">
        <f t="shared" ref="AN295" si="394">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82" t="str">
        <f>IF(K293&lt;&gt;"","P列・R列に色付け","")</f>
        <v/>
      </c>
      <c r="AQ295" s="583"/>
      <c r="AR295" s="583"/>
      <c r="AX295" s="584"/>
      <c r="AY295" s="543" t="str">
        <f>G293</f>
        <v/>
      </c>
    </row>
    <row r="296" spans="1:51" ht="32.1" customHeight="1">
      <c r="A296" s="1225">
        <v>95</v>
      </c>
      <c r="B296" s="1222" t="str">
        <f>IF(基本情報入力シート!C148="","",基本情報入力シート!C148)</f>
        <v/>
      </c>
      <c r="C296" s="1222"/>
      <c r="D296" s="1222"/>
      <c r="E296" s="1222"/>
      <c r="F296" s="1222"/>
      <c r="G296" s="1234" t="str">
        <f>IF(基本情報入力シート!M148="","",基本情報入力シート!M148)</f>
        <v/>
      </c>
      <c r="H296" s="1234" t="str">
        <f>IF(基本情報入力シート!R148="","",基本情報入力シート!R148)</f>
        <v/>
      </c>
      <c r="I296" s="1234" t="str">
        <f>IF(基本情報入力シート!W148="","",基本情報入力シート!W148)</f>
        <v/>
      </c>
      <c r="J296" s="1234" t="str">
        <f>IF(基本情報入力シート!X148="","",基本情報入力シート!X148)</f>
        <v/>
      </c>
      <c r="K296" s="1234" t="str">
        <f>IF(基本情報入力シート!Y148="","",基本情報入力シート!Y148)</f>
        <v/>
      </c>
      <c r="L296" s="1237" t="str">
        <f>IF(基本情報入力シート!AB148="","",基本情報入力シート!AB148)</f>
        <v/>
      </c>
      <c r="M296" s="1292" t="str">
        <f>IF(基本情報入力シート!AC148="","",基本情報入力シート!AC148)</f>
        <v/>
      </c>
      <c r="N296" s="547" t="s">
        <v>183</v>
      </c>
      <c r="O296" s="151"/>
      <c r="P296" s="548" t="str">
        <f>IFERROR(VLOOKUP(K296,【参考】数式用!$A$5:$J$27,MATCH(O296,【参考】数式用!$B$4:$J$4,0)+1,0),"")</f>
        <v/>
      </c>
      <c r="Q296" s="151"/>
      <c r="R296" s="548" t="str">
        <f>IFERROR(VLOOKUP(K296,【参考】数式用!$A$5:$J$27,MATCH(Q296,【参考】数式用!$B$4:$J$4,0)+1,0),"")</f>
        <v/>
      </c>
      <c r="S296" s="549" t="s">
        <v>19</v>
      </c>
      <c r="T296" s="550">
        <v>6</v>
      </c>
      <c r="U296" s="202" t="s">
        <v>10</v>
      </c>
      <c r="V296" s="71">
        <v>4</v>
      </c>
      <c r="W296" s="202" t="s">
        <v>45</v>
      </c>
      <c r="X296" s="550">
        <v>6</v>
      </c>
      <c r="Y296" s="202" t="s">
        <v>10</v>
      </c>
      <c r="Z296" s="71">
        <v>5</v>
      </c>
      <c r="AA296" s="202" t="s">
        <v>13</v>
      </c>
      <c r="AB296" s="551" t="s">
        <v>24</v>
      </c>
      <c r="AC296" s="552">
        <f t="shared" si="382"/>
        <v>2</v>
      </c>
      <c r="AD296" s="202" t="s">
        <v>38</v>
      </c>
      <c r="AE296" s="553" t="str">
        <f>IFERROR(ROUNDDOWN(ROUND(L296*R296,0)*M296,0)*AC296,"")</f>
        <v/>
      </c>
      <c r="AF296" s="554" t="str">
        <f>IFERROR(ROUNDDOWN(ROUND(L296*(R296-P296),0)*M296,0)*AC296,"")</f>
        <v/>
      </c>
      <c r="AG296" s="555"/>
      <c r="AH296" s="465"/>
      <c r="AI296" s="473"/>
      <c r="AJ296" s="470"/>
      <c r="AK296" s="471"/>
      <c r="AL296" s="451"/>
      <c r="AM296" s="452"/>
      <c r="AN296" s="556" t="str">
        <f t="shared" ref="AN296" si="395">IF(AP296="","",IF(R296&lt;P296,"！加算の要件上は問題ありませんが、令和６年３月と比較して４・５月に加算率が下がる計画になっています。",""))</f>
        <v/>
      </c>
      <c r="AP296" s="557" t="str">
        <f>IF(K296&lt;&gt;"","P列・R列に色付け","")</f>
        <v/>
      </c>
      <c r="AQ296" s="558" t="str">
        <f>IFERROR(VLOOKUP(K296,【参考】数式用!$AJ$2:$AK$24,2,FALSE),"")</f>
        <v/>
      </c>
      <c r="AR296" s="560" t="str">
        <f>Q296&amp;Q297&amp;Q298</f>
        <v/>
      </c>
      <c r="AS296" s="558" t="str">
        <f t="shared" ref="AS296" si="396">IF(AG298&lt;&gt;0,IF(AH298="○","入力済","未入力"),"")</f>
        <v/>
      </c>
      <c r="AT296" s="559" t="str">
        <f>IF(OR(Q296="処遇加算Ⅰ",Q296="処遇加算Ⅱ"),IF(OR(AI296="○",AI296="令和６年度中に満たす"),"入力済","未入力"),"")</f>
        <v/>
      </c>
      <c r="AU296" s="560" t="str">
        <f>IF(Q296="処遇加算Ⅲ",IF(AJ296="○","入力済","未入力"),"")</f>
        <v/>
      </c>
      <c r="AV296" s="558" t="str">
        <f>IF(Q296="処遇加算Ⅰ",IF(OR(AK296="○",AK296="令和６年度中に満たす"),"入力済","未入力"),"")</f>
        <v/>
      </c>
      <c r="AW296" s="558"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43" t="str">
        <f>IF(Q297="特定加算Ⅰ",IF(AM297="","未入力","入力済"),"")</f>
        <v/>
      </c>
      <c r="AY296" s="543" t="str">
        <f>G296</f>
        <v/>
      </c>
    </row>
    <row r="297" spans="1:51" ht="32.1" customHeight="1">
      <c r="A297" s="1226"/>
      <c r="B297" s="1223"/>
      <c r="C297" s="1223"/>
      <c r="D297" s="1223"/>
      <c r="E297" s="1223"/>
      <c r="F297" s="1223"/>
      <c r="G297" s="1235"/>
      <c r="H297" s="1235"/>
      <c r="I297" s="1235"/>
      <c r="J297" s="1235"/>
      <c r="K297" s="1235"/>
      <c r="L297" s="1238"/>
      <c r="M297" s="1293"/>
      <c r="N297" s="561" t="s">
        <v>170</v>
      </c>
      <c r="O297" s="152"/>
      <c r="P297" s="562" t="str">
        <f>IFERROR(VLOOKUP(K296,【参考】数式用!$A$5:$J$27,MATCH(O297,【参考】数式用!$B$4:$J$4,0)+1,0),"")</f>
        <v/>
      </c>
      <c r="Q297" s="152"/>
      <c r="R297" s="562" t="str">
        <f>IFERROR(VLOOKUP(K296,【参考】数式用!$A$5:$J$27,MATCH(Q297,【参考】数式用!$B$4:$J$4,0)+1,0),"")</f>
        <v/>
      </c>
      <c r="S297" s="173" t="s">
        <v>19</v>
      </c>
      <c r="T297" s="563">
        <v>6</v>
      </c>
      <c r="U297" s="174" t="s">
        <v>10</v>
      </c>
      <c r="V297" s="109">
        <v>4</v>
      </c>
      <c r="W297" s="174" t="s">
        <v>45</v>
      </c>
      <c r="X297" s="563">
        <v>6</v>
      </c>
      <c r="Y297" s="174" t="s">
        <v>10</v>
      </c>
      <c r="Z297" s="109">
        <v>5</v>
      </c>
      <c r="AA297" s="174" t="s">
        <v>13</v>
      </c>
      <c r="AB297" s="564" t="s">
        <v>24</v>
      </c>
      <c r="AC297" s="565">
        <f t="shared" si="382"/>
        <v>2</v>
      </c>
      <c r="AD297" s="174" t="s">
        <v>38</v>
      </c>
      <c r="AE297" s="566" t="str">
        <f>IFERROR(ROUNDDOWN(ROUND(L296*R297,0)*M296,0)*AC297,"")</f>
        <v/>
      </c>
      <c r="AF297" s="567" t="str">
        <f>IFERROR(ROUNDDOWN(ROUND(L296*(R297-P297),0)*M296,0)*AC297,"")</f>
        <v/>
      </c>
      <c r="AG297" s="568"/>
      <c r="AH297" s="453"/>
      <c r="AI297" s="454"/>
      <c r="AJ297" s="455"/>
      <c r="AK297" s="456"/>
      <c r="AL297" s="457"/>
      <c r="AM297" s="458"/>
      <c r="AN297" s="569" t="str">
        <f t="shared" ref="AN297" si="397">IF(AP296="","",IF(OR(Z296=4,Z297=4,Z298=4),"！加算の要件上は問題ありませんが、算定期間の終わりが令和６年５月になっていません。区分変更の場合は、「基本情報入力シート」で同じ事業所を２行に分けて記入してください。",""))</f>
        <v/>
      </c>
      <c r="AO297" s="570"/>
      <c r="AP297" s="557" t="str">
        <f>IF(K296&lt;&gt;"","P列・R列に色付け","")</f>
        <v/>
      </c>
      <c r="AY297" s="543" t="str">
        <f>G296</f>
        <v/>
      </c>
    </row>
    <row r="298" spans="1:51" ht="32.1" customHeight="1" thickBot="1">
      <c r="A298" s="1227"/>
      <c r="B298" s="1224"/>
      <c r="C298" s="1224"/>
      <c r="D298" s="1224"/>
      <c r="E298" s="1224"/>
      <c r="F298" s="1224"/>
      <c r="G298" s="1236"/>
      <c r="H298" s="1236"/>
      <c r="I298" s="1236"/>
      <c r="J298" s="1236"/>
      <c r="K298" s="1236"/>
      <c r="L298" s="1239"/>
      <c r="M298" s="1294"/>
      <c r="N298" s="571" t="s">
        <v>140</v>
      </c>
      <c r="O298" s="155"/>
      <c r="P298" s="591" t="str">
        <f>IFERROR(VLOOKUP(K296,【参考】数式用!$A$5:$J$27,MATCH(O298,【参考】数式用!$B$4:$J$4,0)+1,0),"")</f>
        <v/>
      </c>
      <c r="Q298" s="153"/>
      <c r="R298" s="572" t="str">
        <f>IFERROR(VLOOKUP(K296,【参考】数式用!$A$5:$J$27,MATCH(Q298,【参考】数式用!$B$4:$J$4,0)+1,0),"")</f>
        <v/>
      </c>
      <c r="S298" s="573" t="s">
        <v>19</v>
      </c>
      <c r="T298" s="574">
        <v>6</v>
      </c>
      <c r="U298" s="575" t="s">
        <v>10</v>
      </c>
      <c r="V298" s="110">
        <v>4</v>
      </c>
      <c r="W298" s="575" t="s">
        <v>45</v>
      </c>
      <c r="X298" s="574">
        <v>6</v>
      </c>
      <c r="Y298" s="575" t="s">
        <v>10</v>
      </c>
      <c r="Z298" s="110">
        <v>5</v>
      </c>
      <c r="AA298" s="575" t="s">
        <v>13</v>
      </c>
      <c r="AB298" s="576" t="s">
        <v>24</v>
      </c>
      <c r="AC298" s="577">
        <f t="shared" si="382"/>
        <v>2</v>
      </c>
      <c r="AD298" s="575" t="s">
        <v>38</v>
      </c>
      <c r="AE298" s="590" t="str">
        <f>IFERROR(ROUNDDOWN(ROUND(L296*R298,0)*M296,0)*AC298,"")</f>
        <v/>
      </c>
      <c r="AF298" s="579" t="str">
        <f>IFERROR(ROUNDDOWN(ROUND(L296*(R298-P298),0)*M296,0)*AC298,"")</f>
        <v/>
      </c>
      <c r="AG298" s="580">
        <f t="shared" si="336"/>
        <v>0</v>
      </c>
      <c r="AH298" s="459"/>
      <c r="AI298" s="460"/>
      <c r="AJ298" s="461"/>
      <c r="AK298" s="462"/>
      <c r="AL298" s="463"/>
      <c r="AM298" s="464"/>
      <c r="AN298" s="581" t="str">
        <f t="shared" ref="AN298" si="398">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82" t="str">
        <f>IF(K296&lt;&gt;"","P列・R列に色付け","")</f>
        <v/>
      </c>
      <c r="AQ298" s="583"/>
      <c r="AR298" s="583"/>
      <c r="AX298" s="584"/>
      <c r="AY298" s="543" t="str">
        <f>G296</f>
        <v/>
      </c>
    </row>
    <row r="299" spans="1:51" ht="32.1" customHeight="1">
      <c r="A299" s="1225">
        <v>96</v>
      </c>
      <c r="B299" s="1222" t="str">
        <f>IF(基本情報入力シート!C149="","",基本情報入力シート!C149)</f>
        <v/>
      </c>
      <c r="C299" s="1222"/>
      <c r="D299" s="1222"/>
      <c r="E299" s="1222"/>
      <c r="F299" s="1222"/>
      <c r="G299" s="1234" t="str">
        <f>IF(基本情報入力シート!M149="","",基本情報入力シート!M149)</f>
        <v/>
      </c>
      <c r="H299" s="1234" t="str">
        <f>IF(基本情報入力シート!R149="","",基本情報入力シート!R149)</f>
        <v/>
      </c>
      <c r="I299" s="1234" t="str">
        <f>IF(基本情報入力シート!W149="","",基本情報入力シート!W149)</f>
        <v/>
      </c>
      <c r="J299" s="1234" t="str">
        <f>IF(基本情報入力シート!X149="","",基本情報入力シート!X149)</f>
        <v/>
      </c>
      <c r="K299" s="1234" t="str">
        <f>IF(基本情報入力シート!Y149="","",基本情報入力シート!Y149)</f>
        <v/>
      </c>
      <c r="L299" s="1237" t="str">
        <f>IF(基本情報入力シート!AB149="","",基本情報入力シート!AB149)</f>
        <v/>
      </c>
      <c r="M299" s="1292" t="str">
        <f>IF(基本情報入力シート!AC149="","",基本情報入力シート!AC149)</f>
        <v/>
      </c>
      <c r="N299" s="547" t="s">
        <v>183</v>
      </c>
      <c r="O299" s="151"/>
      <c r="P299" s="548" t="str">
        <f>IFERROR(VLOOKUP(K299,【参考】数式用!$A$5:$J$27,MATCH(O299,【参考】数式用!$B$4:$J$4,0)+1,0),"")</f>
        <v/>
      </c>
      <c r="Q299" s="151"/>
      <c r="R299" s="548" t="str">
        <f>IFERROR(VLOOKUP(K299,【参考】数式用!$A$5:$J$27,MATCH(Q299,【参考】数式用!$B$4:$J$4,0)+1,0),"")</f>
        <v/>
      </c>
      <c r="S299" s="549" t="s">
        <v>19</v>
      </c>
      <c r="T299" s="550">
        <v>6</v>
      </c>
      <c r="U299" s="202" t="s">
        <v>10</v>
      </c>
      <c r="V299" s="71">
        <v>4</v>
      </c>
      <c r="W299" s="202" t="s">
        <v>45</v>
      </c>
      <c r="X299" s="550">
        <v>6</v>
      </c>
      <c r="Y299" s="202" t="s">
        <v>10</v>
      </c>
      <c r="Z299" s="71">
        <v>5</v>
      </c>
      <c r="AA299" s="202" t="s">
        <v>13</v>
      </c>
      <c r="AB299" s="551" t="s">
        <v>24</v>
      </c>
      <c r="AC299" s="552">
        <f t="shared" si="382"/>
        <v>2</v>
      </c>
      <c r="AD299" s="202" t="s">
        <v>38</v>
      </c>
      <c r="AE299" s="553" t="str">
        <f>IFERROR(ROUNDDOWN(ROUND(L299*R299,0)*M299,0)*AC299,"")</f>
        <v/>
      </c>
      <c r="AF299" s="554" t="str">
        <f>IFERROR(ROUNDDOWN(ROUND(L299*(R299-P299),0)*M299,0)*AC299,"")</f>
        <v/>
      </c>
      <c r="AG299" s="555"/>
      <c r="AH299" s="465"/>
      <c r="AI299" s="473"/>
      <c r="AJ299" s="470"/>
      <c r="AK299" s="471"/>
      <c r="AL299" s="451"/>
      <c r="AM299" s="452"/>
      <c r="AN299" s="556" t="str">
        <f t="shared" ref="AN299" si="399">IF(AP299="","",IF(R299&lt;P299,"！加算の要件上は問題ありませんが、令和６年３月と比較して４・５月に加算率が下がる計画になっています。",""))</f>
        <v/>
      </c>
      <c r="AP299" s="557" t="str">
        <f>IF(K299&lt;&gt;"","P列・R列に色付け","")</f>
        <v/>
      </c>
      <c r="AQ299" s="558" t="str">
        <f>IFERROR(VLOOKUP(K299,【参考】数式用!$AJ$2:$AK$24,2,FALSE),"")</f>
        <v/>
      </c>
      <c r="AR299" s="560" t="str">
        <f>Q299&amp;Q300&amp;Q301</f>
        <v/>
      </c>
      <c r="AS299" s="558" t="str">
        <f t="shared" ref="AS299" si="400">IF(AG301&lt;&gt;0,IF(AH301="○","入力済","未入力"),"")</f>
        <v/>
      </c>
      <c r="AT299" s="559" t="str">
        <f>IF(OR(Q299="処遇加算Ⅰ",Q299="処遇加算Ⅱ"),IF(OR(AI299="○",AI299="令和６年度中に満たす"),"入力済","未入力"),"")</f>
        <v/>
      </c>
      <c r="AU299" s="560" t="str">
        <f>IF(Q299="処遇加算Ⅲ",IF(AJ299="○","入力済","未入力"),"")</f>
        <v/>
      </c>
      <c r="AV299" s="558" t="str">
        <f>IF(Q299="処遇加算Ⅰ",IF(OR(AK299="○",AK299="令和６年度中に満たす"),"入力済","未入力"),"")</f>
        <v/>
      </c>
      <c r="AW299" s="558"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43" t="str">
        <f>IF(Q300="特定加算Ⅰ",IF(AM300="","未入力","入力済"),"")</f>
        <v/>
      </c>
      <c r="AY299" s="543" t="str">
        <f>G299</f>
        <v/>
      </c>
    </row>
    <row r="300" spans="1:51" ht="32.1" customHeight="1">
      <c r="A300" s="1226"/>
      <c r="B300" s="1223"/>
      <c r="C300" s="1223"/>
      <c r="D300" s="1223"/>
      <c r="E300" s="1223"/>
      <c r="F300" s="1223"/>
      <c r="G300" s="1235"/>
      <c r="H300" s="1235"/>
      <c r="I300" s="1235"/>
      <c r="J300" s="1235"/>
      <c r="K300" s="1235"/>
      <c r="L300" s="1238"/>
      <c r="M300" s="1293"/>
      <c r="N300" s="561" t="s">
        <v>170</v>
      </c>
      <c r="O300" s="152"/>
      <c r="P300" s="562" t="str">
        <f>IFERROR(VLOOKUP(K299,【参考】数式用!$A$5:$J$27,MATCH(O300,【参考】数式用!$B$4:$J$4,0)+1,0),"")</f>
        <v/>
      </c>
      <c r="Q300" s="152"/>
      <c r="R300" s="562" t="str">
        <f>IFERROR(VLOOKUP(K299,【参考】数式用!$A$5:$J$27,MATCH(Q300,【参考】数式用!$B$4:$J$4,0)+1,0),"")</f>
        <v/>
      </c>
      <c r="S300" s="173" t="s">
        <v>19</v>
      </c>
      <c r="T300" s="563">
        <v>6</v>
      </c>
      <c r="U300" s="174" t="s">
        <v>10</v>
      </c>
      <c r="V300" s="109">
        <v>4</v>
      </c>
      <c r="W300" s="174" t="s">
        <v>45</v>
      </c>
      <c r="X300" s="563">
        <v>6</v>
      </c>
      <c r="Y300" s="174" t="s">
        <v>10</v>
      </c>
      <c r="Z300" s="109">
        <v>5</v>
      </c>
      <c r="AA300" s="174" t="s">
        <v>13</v>
      </c>
      <c r="AB300" s="564" t="s">
        <v>24</v>
      </c>
      <c r="AC300" s="565">
        <f t="shared" si="382"/>
        <v>2</v>
      </c>
      <c r="AD300" s="174" t="s">
        <v>38</v>
      </c>
      <c r="AE300" s="566" t="str">
        <f>IFERROR(ROUNDDOWN(ROUND(L299*R300,0)*M299,0)*AC300,"")</f>
        <v/>
      </c>
      <c r="AF300" s="567" t="str">
        <f>IFERROR(ROUNDDOWN(ROUND(L299*(R300-P300),0)*M299,0)*AC300,"")</f>
        <v/>
      </c>
      <c r="AG300" s="568"/>
      <c r="AH300" s="453"/>
      <c r="AI300" s="454"/>
      <c r="AJ300" s="455"/>
      <c r="AK300" s="456"/>
      <c r="AL300" s="457"/>
      <c r="AM300" s="458"/>
      <c r="AN300" s="569" t="str">
        <f t="shared" ref="AN300" si="401">IF(AP299="","",IF(OR(Z299=4,Z300=4,Z301=4),"！加算の要件上は問題ありませんが、算定期間の終わりが令和６年５月になっていません。区分変更の場合は、「基本情報入力シート」で同じ事業所を２行に分けて記入してください。",""))</f>
        <v/>
      </c>
      <c r="AO300" s="570"/>
      <c r="AP300" s="557" t="str">
        <f>IF(K299&lt;&gt;"","P列・R列に色付け","")</f>
        <v/>
      </c>
      <c r="AY300" s="543" t="str">
        <f>G299</f>
        <v/>
      </c>
    </row>
    <row r="301" spans="1:51" ht="32.1" customHeight="1" thickBot="1">
      <c r="A301" s="1227"/>
      <c r="B301" s="1224"/>
      <c r="C301" s="1224"/>
      <c r="D301" s="1224"/>
      <c r="E301" s="1224"/>
      <c r="F301" s="1224"/>
      <c r="G301" s="1236"/>
      <c r="H301" s="1236"/>
      <c r="I301" s="1236"/>
      <c r="J301" s="1236"/>
      <c r="K301" s="1236"/>
      <c r="L301" s="1239"/>
      <c r="M301" s="1294"/>
      <c r="N301" s="571" t="s">
        <v>140</v>
      </c>
      <c r="O301" s="155"/>
      <c r="P301" s="591" t="str">
        <f>IFERROR(VLOOKUP(K299,【参考】数式用!$A$5:$J$27,MATCH(O301,【参考】数式用!$B$4:$J$4,0)+1,0),"")</f>
        <v/>
      </c>
      <c r="Q301" s="153"/>
      <c r="R301" s="572" t="str">
        <f>IFERROR(VLOOKUP(K299,【参考】数式用!$A$5:$J$27,MATCH(Q301,【参考】数式用!$B$4:$J$4,0)+1,0),"")</f>
        <v/>
      </c>
      <c r="S301" s="573" t="s">
        <v>19</v>
      </c>
      <c r="T301" s="574">
        <v>6</v>
      </c>
      <c r="U301" s="575" t="s">
        <v>10</v>
      </c>
      <c r="V301" s="110">
        <v>4</v>
      </c>
      <c r="W301" s="575" t="s">
        <v>45</v>
      </c>
      <c r="X301" s="574">
        <v>6</v>
      </c>
      <c r="Y301" s="575" t="s">
        <v>10</v>
      </c>
      <c r="Z301" s="110">
        <v>5</v>
      </c>
      <c r="AA301" s="575" t="s">
        <v>13</v>
      </c>
      <c r="AB301" s="576" t="s">
        <v>24</v>
      </c>
      <c r="AC301" s="577">
        <f t="shared" si="382"/>
        <v>2</v>
      </c>
      <c r="AD301" s="575" t="s">
        <v>38</v>
      </c>
      <c r="AE301" s="590" t="str">
        <f>IFERROR(ROUNDDOWN(ROUND(L299*R301,0)*M299,0)*AC301,"")</f>
        <v/>
      </c>
      <c r="AF301" s="579" t="str">
        <f>IFERROR(ROUNDDOWN(ROUND(L299*(R301-P301),0)*M299,0)*AC301,"")</f>
        <v/>
      </c>
      <c r="AG301" s="580">
        <f t="shared" si="336"/>
        <v>0</v>
      </c>
      <c r="AH301" s="459"/>
      <c r="AI301" s="460"/>
      <c r="AJ301" s="461"/>
      <c r="AK301" s="462"/>
      <c r="AL301" s="463"/>
      <c r="AM301" s="464"/>
      <c r="AN301" s="581" t="str">
        <f t="shared" ref="AN301" si="402">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82" t="str">
        <f>IF(K299&lt;&gt;"","P列・R列に色付け","")</f>
        <v/>
      </c>
      <c r="AQ301" s="583"/>
      <c r="AR301" s="583"/>
      <c r="AX301" s="584"/>
      <c r="AY301" s="543" t="str">
        <f>G299</f>
        <v/>
      </c>
    </row>
    <row r="302" spans="1:51" ht="32.1" customHeight="1">
      <c r="A302" s="1225">
        <v>97</v>
      </c>
      <c r="B302" s="1222" t="str">
        <f>IF(基本情報入力シート!C150="","",基本情報入力シート!C150)</f>
        <v/>
      </c>
      <c r="C302" s="1222"/>
      <c r="D302" s="1222"/>
      <c r="E302" s="1222"/>
      <c r="F302" s="1222"/>
      <c r="G302" s="1234" t="str">
        <f>IF(基本情報入力シート!M150="","",基本情報入力シート!M150)</f>
        <v/>
      </c>
      <c r="H302" s="1234" t="str">
        <f>IF(基本情報入力シート!R150="","",基本情報入力シート!R150)</f>
        <v/>
      </c>
      <c r="I302" s="1234" t="str">
        <f>IF(基本情報入力シート!W150="","",基本情報入力シート!W150)</f>
        <v/>
      </c>
      <c r="J302" s="1234" t="str">
        <f>IF(基本情報入力シート!X150="","",基本情報入力シート!X150)</f>
        <v/>
      </c>
      <c r="K302" s="1234" t="str">
        <f>IF(基本情報入力シート!Y150="","",基本情報入力シート!Y150)</f>
        <v/>
      </c>
      <c r="L302" s="1237" t="str">
        <f>IF(基本情報入力シート!AB150="","",基本情報入力シート!AB150)</f>
        <v/>
      </c>
      <c r="M302" s="1292" t="str">
        <f>IF(基本情報入力シート!AC150="","",基本情報入力シート!AC150)</f>
        <v/>
      </c>
      <c r="N302" s="547" t="s">
        <v>183</v>
      </c>
      <c r="O302" s="151"/>
      <c r="P302" s="548" t="str">
        <f>IFERROR(VLOOKUP(K302,【参考】数式用!$A$5:$J$27,MATCH(O302,【参考】数式用!$B$4:$J$4,0)+1,0),"")</f>
        <v/>
      </c>
      <c r="Q302" s="151"/>
      <c r="R302" s="548" t="str">
        <f>IFERROR(VLOOKUP(K302,【参考】数式用!$A$5:$J$27,MATCH(Q302,【参考】数式用!$B$4:$J$4,0)+1,0),"")</f>
        <v/>
      </c>
      <c r="S302" s="549" t="s">
        <v>19</v>
      </c>
      <c r="T302" s="550">
        <v>6</v>
      </c>
      <c r="U302" s="202" t="s">
        <v>10</v>
      </c>
      <c r="V302" s="71">
        <v>4</v>
      </c>
      <c r="W302" s="202" t="s">
        <v>45</v>
      </c>
      <c r="X302" s="550">
        <v>6</v>
      </c>
      <c r="Y302" s="202" t="s">
        <v>10</v>
      </c>
      <c r="Z302" s="71">
        <v>5</v>
      </c>
      <c r="AA302" s="202" t="s">
        <v>13</v>
      </c>
      <c r="AB302" s="551" t="s">
        <v>24</v>
      </c>
      <c r="AC302" s="552">
        <f t="shared" si="382"/>
        <v>2</v>
      </c>
      <c r="AD302" s="202" t="s">
        <v>38</v>
      </c>
      <c r="AE302" s="553" t="str">
        <f>IFERROR(ROUNDDOWN(ROUND(L302*R302,0)*M302,0)*AC302,"")</f>
        <v/>
      </c>
      <c r="AF302" s="554" t="str">
        <f>IFERROR(ROUNDDOWN(ROUND(L302*(R302-P302),0)*M302,0)*AC302,"")</f>
        <v/>
      </c>
      <c r="AG302" s="555"/>
      <c r="AH302" s="465"/>
      <c r="AI302" s="473"/>
      <c r="AJ302" s="470"/>
      <c r="AK302" s="471"/>
      <c r="AL302" s="451"/>
      <c r="AM302" s="452"/>
      <c r="AN302" s="556" t="str">
        <f t="shared" ref="AN302" si="403">IF(AP302="","",IF(R302&lt;P302,"！加算の要件上は問題ありませんが、令和６年３月と比較して４・５月に加算率が下がる計画になっています。",""))</f>
        <v/>
      </c>
      <c r="AP302" s="557" t="str">
        <f>IF(K302&lt;&gt;"","P列・R列に色付け","")</f>
        <v/>
      </c>
      <c r="AQ302" s="558" t="str">
        <f>IFERROR(VLOOKUP(K302,【参考】数式用!$AJ$2:$AK$24,2,FALSE),"")</f>
        <v/>
      </c>
      <c r="AR302" s="560" t="str">
        <f>Q302&amp;Q303&amp;Q304</f>
        <v/>
      </c>
      <c r="AS302" s="558" t="str">
        <f t="shared" ref="AS302" si="404">IF(AG304&lt;&gt;0,IF(AH304="○","入力済","未入力"),"")</f>
        <v/>
      </c>
      <c r="AT302" s="559" t="str">
        <f>IF(OR(Q302="処遇加算Ⅰ",Q302="処遇加算Ⅱ"),IF(OR(AI302="○",AI302="令和６年度中に満たす"),"入力済","未入力"),"")</f>
        <v/>
      </c>
      <c r="AU302" s="560" t="str">
        <f>IF(Q302="処遇加算Ⅲ",IF(AJ302="○","入力済","未入力"),"")</f>
        <v/>
      </c>
      <c r="AV302" s="558" t="str">
        <f>IF(Q302="処遇加算Ⅰ",IF(OR(AK302="○",AK302="令和６年度中に満たす"),"入力済","未入力"),"")</f>
        <v/>
      </c>
      <c r="AW302" s="558"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43" t="str">
        <f>IF(Q303="特定加算Ⅰ",IF(AM303="","未入力","入力済"),"")</f>
        <v/>
      </c>
      <c r="AY302" s="543" t="str">
        <f>G302</f>
        <v/>
      </c>
    </row>
    <row r="303" spans="1:51" ht="32.1" customHeight="1">
      <c r="A303" s="1226"/>
      <c r="B303" s="1223"/>
      <c r="C303" s="1223"/>
      <c r="D303" s="1223"/>
      <c r="E303" s="1223"/>
      <c r="F303" s="1223"/>
      <c r="G303" s="1235"/>
      <c r="H303" s="1235"/>
      <c r="I303" s="1235"/>
      <c r="J303" s="1235"/>
      <c r="K303" s="1235"/>
      <c r="L303" s="1238"/>
      <c r="M303" s="1293"/>
      <c r="N303" s="561" t="s">
        <v>170</v>
      </c>
      <c r="O303" s="152"/>
      <c r="P303" s="562" t="str">
        <f>IFERROR(VLOOKUP(K302,【参考】数式用!$A$5:$J$27,MATCH(O303,【参考】数式用!$B$4:$J$4,0)+1,0),"")</f>
        <v/>
      </c>
      <c r="Q303" s="152"/>
      <c r="R303" s="562" t="str">
        <f>IFERROR(VLOOKUP(K302,【参考】数式用!$A$5:$J$27,MATCH(Q303,【参考】数式用!$B$4:$J$4,0)+1,0),"")</f>
        <v/>
      </c>
      <c r="S303" s="173" t="s">
        <v>19</v>
      </c>
      <c r="T303" s="563">
        <v>6</v>
      </c>
      <c r="U303" s="174" t="s">
        <v>10</v>
      </c>
      <c r="V303" s="109">
        <v>4</v>
      </c>
      <c r="W303" s="174" t="s">
        <v>45</v>
      </c>
      <c r="X303" s="563">
        <v>6</v>
      </c>
      <c r="Y303" s="174" t="s">
        <v>10</v>
      </c>
      <c r="Z303" s="109">
        <v>5</v>
      </c>
      <c r="AA303" s="174" t="s">
        <v>13</v>
      </c>
      <c r="AB303" s="564" t="s">
        <v>24</v>
      </c>
      <c r="AC303" s="565">
        <f t="shared" si="382"/>
        <v>2</v>
      </c>
      <c r="AD303" s="174" t="s">
        <v>38</v>
      </c>
      <c r="AE303" s="566" t="str">
        <f>IFERROR(ROUNDDOWN(ROUND(L302*R303,0)*M302,0)*AC303,"")</f>
        <v/>
      </c>
      <c r="AF303" s="567" t="str">
        <f>IFERROR(ROUNDDOWN(ROUND(L302*(R303-P303),0)*M302,0)*AC303,"")</f>
        <v/>
      </c>
      <c r="AG303" s="568"/>
      <c r="AH303" s="453"/>
      <c r="AI303" s="454"/>
      <c r="AJ303" s="455"/>
      <c r="AK303" s="456"/>
      <c r="AL303" s="457"/>
      <c r="AM303" s="458"/>
      <c r="AN303" s="569" t="str">
        <f t="shared" ref="AN303" si="405">IF(AP302="","",IF(OR(Z302=4,Z303=4,Z304=4),"！加算の要件上は問題ありませんが、算定期間の終わりが令和６年５月になっていません。区分変更の場合は、「基本情報入力シート」で同じ事業所を２行に分けて記入してください。",""))</f>
        <v/>
      </c>
      <c r="AO303" s="570"/>
      <c r="AP303" s="557" t="str">
        <f>IF(K302&lt;&gt;"","P列・R列に色付け","")</f>
        <v/>
      </c>
      <c r="AY303" s="543" t="str">
        <f>G302</f>
        <v/>
      </c>
    </row>
    <row r="304" spans="1:51" ht="32.1" customHeight="1" thickBot="1">
      <c r="A304" s="1227"/>
      <c r="B304" s="1224"/>
      <c r="C304" s="1224"/>
      <c r="D304" s="1224"/>
      <c r="E304" s="1224"/>
      <c r="F304" s="1224"/>
      <c r="G304" s="1236"/>
      <c r="H304" s="1236"/>
      <c r="I304" s="1236"/>
      <c r="J304" s="1236"/>
      <c r="K304" s="1236"/>
      <c r="L304" s="1239"/>
      <c r="M304" s="1294"/>
      <c r="N304" s="571" t="s">
        <v>140</v>
      </c>
      <c r="O304" s="155"/>
      <c r="P304" s="591" t="str">
        <f>IFERROR(VLOOKUP(K302,【参考】数式用!$A$5:$J$27,MATCH(O304,【参考】数式用!$B$4:$J$4,0)+1,0),"")</f>
        <v/>
      </c>
      <c r="Q304" s="153"/>
      <c r="R304" s="572" t="str">
        <f>IFERROR(VLOOKUP(K302,【参考】数式用!$A$5:$J$27,MATCH(Q304,【参考】数式用!$B$4:$J$4,0)+1,0),"")</f>
        <v/>
      </c>
      <c r="S304" s="573" t="s">
        <v>19</v>
      </c>
      <c r="T304" s="574">
        <v>6</v>
      </c>
      <c r="U304" s="575" t="s">
        <v>10</v>
      </c>
      <c r="V304" s="110">
        <v>4</v>
      </c>
      <c r="W304" s="575" t="s">
        <v>45</v>
      </c>
      <c r="X304" s="574">
        <v>6</v>
      </c>
      <c r="Y304" s="575" t="s">
        <v>10</v>
      </c>
      <c r="Z304" s="110">
        <v>5</v>
      </c>
      <c r="AA304" s="575" t="s">
        <v>13</v>
      </c>
      <c r="AB304" s="576" t="s">
        <v>24</v>
      </c>
      <c r="AC304" s="577">
        <f t="shared" si="382"/>
        <v>2</v>
      </c>
      <c r="AD304" s="575" t="s">
        <v>38</v>
      </c>
      <c r="AE304" s="590" t="str">
        <f>IFERROR(ROUNDDOWN(ROUND(L302*R304,0)*M302,0)*AC304,"")</f>
        <v/>
      </c>
      <c r="AF304" s="579" t="str">
        <f>IFERROR(ROUNDDOWN(ROUND(L302*(R304-P304),0)*M302,0)*AC304,"")</f>
        <v/>
      </c>
      <c r="AG304" s="580">
        <f t="shared" si="336"/>
        <v>0</v>
      </c>
      <c r="AH304" s="459"/>
      <c r="AI304" s="460"/>
      <c r="AJ304" s="461"/>
      <c r="AK304" s="462"/>
      <c r="AL304" s="463"/>
      <c r="AM304" s="464"/>
      <c r="AN304" s="581" t="str">
        <f t="shared" ref="AN304" si="406">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82" t="str">
        <f>IF(K302&lt;&gt;"","P列・R列に色付け","")</f>
        <v/>
      </c>
      <c r="AQ304" s="583"/>
      <c r="AR304" s="583"/>
      <c r="AX304" s="584"/>
      <c r="AY304" s="543" t="str">
        <f>G302</f>
        <v/>
      </c>
    </row>
    <row r="305" spans="1:51" ht="32.1" customHeight="1">
      <c r="A305" s="1225">
        <v>98</v>
      </c>
      <c r="B305" s="1222" t="str">
        <f>IF(基本情報入力シート!C151="","",基本情報入力シート!C151)</f>
        <v/>
      </c>
      <c r="C305" s="1222"/>
      <c r="D305" s="1222"/>
      <c r="E305" s="1222"/>
      <c r="F305" s="1222"/>
      <c r="G305" s="1234" t="str">
        <f>IF(基本情報入力シート!M151="","",基本情報入力シート!M151)</f>
        <v/>
      </c>
      <c r="H305" s="1234" t="str">
        <f>IF(基本情報入力シート!R151="","",基本情報入力シート!R151)</f>
        <v/>
      </c>
      <c r="I305" s="1234" t="str">
        <f>IF(基本情報入力シート!W151="","",基本情報入力シート!W151)</f>
        <v/>
      </c>
      <c r="J305" s="1234" t="str">
        <f>IF(基本情報入力シート!X151="","",基本情報入力シート!X151)</f>
        <v/>
      </c>
      <c r="K305" s="1234" t="str">
        <f>IF(基本情報入力シート!Y151="","",基本情報入力シート!Y151)</f>
        <v/>
      </c>
      <c r="L305" s="1237" t="str">
        <f>IF(基本情報入力シート!AB151="","",基本情報入力シート!AB151)</f>
        <v/>
      </c>
      <c r="M305" s="1292" t="str">
        <f>IF(基本情報入力シート!AC151="","",基本情報入力シート!AC151)</f>
        <v/>
      </c>
      <c r="N305" s="547" t="s">
        <v>183</v>
      </c>
      <c r="O305" s="151"/>
      <c r="P305" s="548" t="str">
        <f>IFERROR(VLOOKUP(K305,【参考】数式用!$A$5:$J$27,MATCH(O305,【参考】数式用!$B$4:$J$4,0)+1,0),"")</f>
        <v/>
      </c>
      <c r="Q305" s="151"/>
      <c r="R305" s="548" t="str">
        <f>IFERROR(VLOOKUP(K305,【参考】数式用!$A$5:$J$27,MATCH(Q305,【参考】数式用!$B$4:$J$4,0)+1,0),"")</f>
        <v/>
      </c>
      <c r="S305" s="549" t="s">
        <v>19</v>
      </c>
      <c r="T305" s="550">
        <v>6</v>
      </c>
      <c r="U305" s="202" t="s">
        <v>10</v>
      </c>
      <c r="V305" s="71">
        <v>4</v>
      </c>
      <c r="W305" s="202" t="s">
        <v>45</v>
      </c>
      <c r="X305" s="550">
        <v>6</v>
      </c>
      <c r="Y305" s="202" t="s">
        <v>10</v>
      </c>
      <c r="Z305" s="71">
        <v>5</v>
      </c>
      <c r="AA305" s="202" t="s">
        <v>13</v>
      </c>
      <c r="AB305" s="551" t="s">
        <v>24</v>
      </c>
      <c r="AC305" s="552">
        <f t="shared" si="382"/>
        <v>2</v>
      </c>
      <c r="AD305" s="202" t="s">
        <v>38</v>
      </c>
      <c r="AE305" s="553" t="str">
        <f>IFERROR(ROUNDDOWN(ROUND(L305*R305,0)*M305,0)*AC305,"")</f>
        <v/>
      </c>
      <c r="AF305" s="554" t="str">
        <f>IFERROR(ROUNDDOWN(ROUND(L305*(R305-P305),0)*M305,0)*AC305,"")</f>
        <v/>
      </c>
      <c r="AG305" s="555"/>
      <c r="AH305" s="465"/>
      <c r="AI305" s="473"/>
      <c r="AJ305" s="470"/>
      <c r="AK305" s="471"/>
      <c r="AL305" s="451"/>
      <c r="AM305" s="452"/>
      <c r="AN305" s="556" t="str">
        <f t="shared" ref="AN305" si="407">IF(AP305="","",IF(R305&lt;P305,"！加算の要件上は問題ありませんが、令和６年３月と比較して４・５月に加算率が下がる計画になっています。",""))</f>
        <v/>
      </c>
      <c r="AP305" s="557" t="str">
        <f>IF(K305&lt;&gt;"","P列・R列に色付け","")</f>
        <v/>
      </c>
      <c r="AQ305" s="558" t="str">
        <f>IFERROR(VLOOKUP(K305,【参考】数式用!$AJ$2:$AK$24,2,FALSE),"")</f>
        <v/>
      </c>
      <c r="AR305" s="560" t="str">
        <f>Q305&amp;Q306&amp;Q307</f>
        <v/>
      </c>
      <c r="AS305" s="558" t="str">
        <f t="shared" ref="AS305" si="408">IF(AG307&lt;&gt;0,IF(AH307="○","入力済","未入力"),"")</f>
        <v/>
      </c>
      <c r="AT305" s="559" t="str">
        <f>IF(OR(Q305="処遇加算Ⅰ",Q305="処遇加算Ⅱ"),IF(OR(AI305="○",AI305="令和６年度中に満たす"),"入力済","未入力"),"")</f>
        <v/>
      </c>
      <c r="AU305" s="560" t="str">
        <f>IF(Q305="処遇加算Ⅲ",IF(AJ305="○","入力済","未入力"),"")</f>
        <v/>
      </c>
      <c r="AV305" s="558" t="str">
        <f>IF(Q305="処遇加算Ⅰ",IF(OR(AK305="○",AK305="令和６年度中に満たす"),"入力済","未入力"),"")</f>
        <v/>
      </c>
      <c r="AW305" s="558"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43" t="str">
        <f>IF(Q306="特定加算Ⅰ",IF(AM306="","未入力","入力済"),"")</f>
        <v/>
      </c>
      <c r="AY305" s="543" t="str">
        <f>G305</f>
        <v/>
      </c>
    </row>
    <row r="306" spans="1:51" ht="32.1" customHeight="1">
      <c r="A306" s="1226"/>
      <c r="B306" s="1223"/>
      <c r="C306" s="1223"/>
      <c r="D306" s="1223"/>
      <c r="E306" s="1223"/>
      <c r="F306" s="1223"/>
      <c r="G306" s="1235"/>
      <c r="H306" s="1235"/>
      <c r="I306" s="1235"/>
      <c r="J306" s="1235"/>
      <c r="K306" s="1235"/>
      <c r="L306" s="1238"/>
      <c r="M306" s="1293"/>
      <c r="N306" s="561" t="s">
        <v>170</v>
      </c>
      <c r="O306" s="152"/>
      <c r="P306" s="562" t="str">
        <f>IFERROR(VLOOKUP(K305,【参考】数式用!$A$5:$J$27,MATCH(O306,【参考】数式用!$B$4:$J$4,0)+1,0),"")</f>
        <v/>
      </c>
      <c r="Q306" s="152"/>
      <c r="R306" s="562" t="str">
        <f>IFERROR(VLOOKUP(K305,【参考】数式用!$A$5:$J$27,MATCH(Q306,【参考】数式用!$B$4:$J$4,0)+1,0),"")</f>
        <v/>
      </c>
      <c r="S306" s="173" t="s">
        <v>19</v>
      </c>
      <c r="T306" s="563">
        <v>6</v>
      </c>
      <c r="U306" s="174" t="s">
        <v>10</v>
      </c>
      <c r="V306" s="109">
        <v>4</v>
      </c>
      <c r="W306" s="174" t="s">
        <v>45</v>
      </c>
      <c r="X306" s="563">
        <v>6</v>
      </c>
      <c r="Y306" s="174" t="s">
        <v>10</v>
      </c>
      <c r="Z306" s="109">
        <v>5</v>
      </c>
      <c r="AA306" s="174" t="s">
        <v>13</v>
      </c>
      <c r="AB306" s="564" t="s">
        <v>24</v>
      </c>
      <c r="AC306" s="565">
        <f t="shared" si="382"/>
        <v>2</v>
      </c>
      <c r="AD306" s="174" t="s">
        <v>38</v>
      </c>
      <c r="AE306" s="566" t="str">
        <f>IFERROR(ROUNDDOWN(ROUND(L305*R306,0)*M305,0)*AC306,"")</f>
        <v/>
      </c>
      <c r="AF306" s="567" t="str">
        <f>IFERROR(ROUNDDOWN(ROUND(L305*(R306-P306),0)*M305,0)*AC306,"")</f>
        <v/>
      </c>
      <c r="AG306" s="568"/>
      <c r="AH306" s="453"/>
      <c r="AI306" s="454"/>
      <c r="AJ306" s="455"/>
      <c r="AK306" s="456"/>
      <c r="AL306" s="457"/>
      <c r="AM306" s="458"/>
      <c r="AN306" s="569" t="str">
        <f t="shared" ref="AN306" si="409">IF(AP305="","",IF(OR(Z305=4,Z306=4,Z307=4),"！加算の要件上は問題ありませんが、算定期間の終わりが令和６年５月になっていません。区分変更の場合は、「基本情報入力シート」で同じ事業所を２行に分けて記入してください。",""))</f>
        <v/>
      </c>
      <c r="AO306" s="570"/>
      <c r="AP306" s="557" t="str">
        <f>IF(K305&lt;&gt;"","P列・R列に色付け","")</f>
        <v/>
      </c>
      <c r="AY306" s="543" t="str">
        <f>G305</f>
        <v/>
      </c>
    </row>
    <row r="307" spans="1:51" ht="32.1" customHeight="1" thickBot="1">
      <c r="A307" s="1227"/>
      <c r="B307" s="1224"/>
      <c r="C307" s="1224"/>
      <c r="D307" s="1224"/>
      <c r="E307" s="1224"/>
      <c r="F307" s="1224"/>
      <c r="G307" s="1236"/>
      <c r="H307" s="1236"/>
      <c r="I307" s="1236"/>
      <c r="J307" s="1236"/>
      <c r="K307" s="1236"/>
      <c r="L307" s="1239"/>
      <c r="M307" s="1294"/>
      <c r="N307" s="571" t="s">
        <v>140</v>
      </c>
      <c r="O307" s="155"/>
      <c r="P307" s="591" t="str">
        <f>IFERROR(VLOOKUP(K305,【参考】数式用!$A$5:$J$27,MATCH(O307,【参考】数式用!$B$4:$J$4,0)+1,0),"")</f>
        <v/>
      </c>
      <c r="Q307" s="153"/>
      <c r="R307" s="572" t="str">
        <f>IFERROR(VLOOKUP(K305,【参考】数式用!$A$5:$J$27,MATCH(Q307,【参考】数式用!$B$4:$J$4,0)+1,0),"")</f>
        <v/>
      </c>
      <c r="S307" s="573" t="s">
        <v>19</v>
      </c>
      <c r="T307" s="574">
        <v>6</v>
      </c>
      <c r="U307" s="575" t="s">
        <v>10</v>
      </c>
      <c r="V307" s="110">
        <v>4</v>
      </c>
      <c r="W307" s="575" t="s">
        <v>45</v>
      </c>
      <c r="X307" s="574">
        <v>6</v>
      </c>
      <c r="Y307" s="575" t="s">
        <v>10</v>
      </c>
      <c r="Z307" s="110">
        <v>5</v>
      </c>
      <c r="AA307" s="575" t="s">
        <v>13</v>
      </c>
      <c r="AB307" s="576" t="s">
        <v>24</v>
      </c>
      <c r="AC307" s="577">
        <f t="shared" si="382"/>
        <v>2</v>
      </c>
      <c r="AD307" s="575" t="s">
        <v>38</v>
      </c>
      <c r="AE307" s="590" t="str">
        <f>IFERROR(ROUNDDOWN(ROUND(L305*R307,0)*M305,0)*AC307,"")</f>
        <v/>
      </c>
      <c r="AF307" s="579" t="str">
        <f>IFERROR(ROUNDDOWN(ROUND(L305*(R307-P307),0)*M305,0)*AC307,"")</f>
        <v/>
      </c>
      <c r="AG307" s="580">
        <f t="shared" si="336"/>
        <v>0</v>
      </c>
      <c r="AH307" s="459"/>
      <c r="AI307" s="460"/>
      <c r="AJ307" s="461"/>
      <c r="AK307" s="462"/>
      <c r="AL307" s="463"/>
      <c r="AM307" s="464"/>
      <c r="AN307" s="581" t="str">
        <f t="shared" ref="AN307" si="410">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82" t="str">
        <f>IF(K305&lt;&gt;"","P列・R列に色付け","")</f>
        <v/>
      </c>
      <c r="AQ307" s="583"/>
      <c r="AR307" s="583"/>
      <c r="AX307" s="584"/>
      <c r="AY307" s="543" t="str">
        <f>G305</f>
        <v/>
      </c>
    </row>
    <row r="308" spans="1:51" ht="32.1" customHeight="1">
      <c r="A308" s="1225">
        <v>99</v>
      </c>
      <c r="B308" s="1222" t="str">
        <f>IF(基本情報入力シート!C152="","",基本情報入力シート!C152)</f>
        <v/>
      </c>
      <c r="C308" s="1222"/>
      <c r="D308" s="1222"/>
      <c r="E308" s="1222"/>
      <c r="F308" s="1222"/>
      <c r="G308" s="1234" t="str">
        <f>IF(基本情報入力シート!M152="","",基本情報入力シート!M152)</f>
        <v/>
      </c>
      <c r="H308" s="1234" t="str">
        <f>IF(基本情報入力シート!R152="","",基本情報入力シート!R152)</f>
        <v/>
      </c>
      <c r="I308" s="1234" t="str">
        <f>IF(基本情報入力シート!W152="","",基本情報入力シート!W152)</f>
        <v/>
      </c>
      <c r="J308" s="1234" t="str">
        <f>IF(基本情報入力シート!X152="","",基本情報入力シート!X152)</f>
        <v/>
      </c>
      <c r="K308" s="1234" t="str">
        <f>IF(基本情報入力シート!Y152="","",基本情報入力シート!Y152)</f>
        <v/>
      </c>
      <c r="L308" s="1237" t="str">
        <f>IF(基本情報入力シート!AB152="","",基本情報入力シート!AB152)</f>
        <v/>
      </c>
      <c r="M308" s="1292" t="str">
        <f>IF(基本情報入力シート!AC152="","",基本情報入力シート!AC152)</f>
        <v/>
      </c>
      <c r="N308" s="547" t="s">
        <v>183</v>
      </c>
      <c r="O308" s="151"/>
      <c r="P308" s="548" t="str">
        <f>IFERROR(VLOOKUP(K308,【参考】数式用!$A$5:$J$27,MATCH(O308,【参考】数式用!$B$4:$J$4,0)+1,0),"")</f>
        <v/>
      </c>
      <c r="Q308" s="151"/>
      <c r="R308" s="548" t="str">
        <f>IFERROR(VLOOKUP(K308,【参考】数式用!$A$5:$J$27,MATCH(Q308,【参考】数式用!$B$4:$J$4,0)+1,0),"")</f>
        <v/>
      </c>
      <c r="S308" s="549" t="s">
        <v>19</v>
      </c>
      <c r="T308" s="550">
        <v>6</v>
      </c>
      <c r="U308" s="202" t="s">
        <v>10</v>
      </c>
      <c r="V308" s="71">
        <v>4</v>
      </c>
      <c r="W308" s="202" t="s">
        <v>45</v>
      </c>
      <c r="X308" s="550">
        <v>6</v>
      </c>
      <c r="Y308" s="202" t="s">
        <v>10</v>
      </c>
      <c r="Z308" s="71">
        <v>5</v>
      </c>
      <c r="AA308" s="202" t="s">
        <v>13</v>
      </c>
      <c r="AB308" s="551" t="s">
        <v>24</v>
      </c>
      <c r="AC308" s="552">
        <f t="shared" si="382"/>
        <v>2</v>
      </c>
      <c r="AD308" s="202" t="s">
        <v>38</v>
      </c>
      <c r="AE308" s="553" t="str">
        <f>IFERROR(ROUNDDOWN(ROUND(L308*R308,0)*M308,0)*AC308,"")</f>
        <v/>
      </c>
      <c r="AF308" s="554" t="str">
        <f>IFERROR(ROUNDDOWN(ROUND(L308*(R308-P308),0)*M308,0)*AC308,"")</f>
        <v/>
      </c>
      <c r="AG308" s="555"/>
      <c r="AH308" s="465"/>
      <c r="AI308" s="473"/>
      <c r="AJ308" s="470"/>
      <c r="AK308" s="471"/>
      <c r="AL308" s="451"/>
      <c r="AM308" s="452"/>
      <c r="AN308" s="556" t="str">
        <f t="shared" ref="AN308" si="411">IF(AP308="","",IF(R308&lt;P308,"！加算の要件上は問題ありませんが、令和６年３月と比較して４・５月に加算率が下がる計画になっています。",""))</f>
        <v/>
      </c>
      <c r="AP308" s="557" t="str">
        <f>IF(K308&lt;&gt;"","P列・R列に色付け","")</f>
        <v/>
      </c>
      <c r="AQ308" s="558" t="str">
        <f>IFERROR(VLOOKUP(K308,【参考】数式用!$AJ$2:$AK$24,2,FALSE),"")</f>
        <v/>
      </c>
      <c r="AR308" s="560" t="str">
        <f>Q308&amp;Q309&amp;Q310</f>
        <v/>
      </c>
      <c r="AS308" s="558" t="str">
        <f t="shared" ref="AS308" si="412">IF(AG310&lt;&gt;0,IF(AH310="○","入力済","未入力"),"")</f>
        <v/>
      </c>
      <c r="AT308" s="559" t="str">
        <f>IF(OR(Q308="処遇加算Ⅰ",Q308="処遇加算Ⅱ"),IF(OR(AI308="○",AI308="令和６年度中に満たす"),"入力済","未入力"),"")</f>
        <v/>
      </c>
      <c r="AU308" s="560" t="str">
        <f>IF(Q308="処遇加算Ⅲ",IF(AJ308="○","入力済","未入力"),"")</f>
        <v/>
      </c>
      <c r="AV308" s="558" t="str">
        <f>IF(Q308="処遇加算Ⅰ",IF(OR(AK308="○",AK308="令和６年度中に満たす"),"入力済","未入力"),"")</f>
        <v/>
      </c>
      <c r="AW308" s="558"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43" t="str">
        <f>IF(Q309="特定加算Ⅰ",IF(AM309="","未入力","入力済"),"")</f>
        <v/>
      </c>
      <c r="AY308" s="543" t="str">
        <f>G308</f>
        <v/>
      </c>
    </row>
    <row r="309" spans="1:51" ht="32.1" customHeight="1">
      <c r="A309" s="1226"/>
      <c r="B309" s="1223"/>
      <c r="C309" s="1223"/>
      <c r="D309" s="1223"/>
      <c r="E309" s="1223"/>
      <c r="F309" s="1223"/>
      <c r="G309" s="1235"/>
      <c r="H309" s="1235"/>
      <c r="I309" s="1235"/>
      <c r="J309" s="1235"/>
      <c r="K309" s="1235"/>
      <c r="L309" s="1238"/>
      <c r="M309" s="1293"/>
      <c r="N309" s="561" t="s">
        <v>170</v>
      </c>
      <c r="O309" s="152"/>
      <c r="P309" s="562" t="str">
        <f>IFERROR(VLOOKUP(K308,【参考】数式用!$A$5:$J$27,MATCH(O309,【参考】数式用!$B$4:$J$4,0)+1,0),"")</f>
        <v/>
      </c>
      <c r="Q309" s="152"/>
      <c r="R309" s="562" t="str">
        <f>IFERROR(VLOOKUP(K308,【参考】数式用!$A$5:$J$27,MATCH(Q309,【参考】数式用!$B$4:$J$4,0)+1,0),"")</f>
        <v/>
      </c>
      <c r="S309" s="173" t="s">
        <v>19</v>
      </c>
      <c r="T309" s="563">
        <v>6</v>
      </c>
      <c r="U309" s="174" t="s">
        <v>10</v>
      </c>
      <c r="V309" s="109">
        <v>4</v>
      </c>
      <c r="W309" s="174" t="s">
        <v>45</v>
      </c>
      <c r="X309" s="563">
        <v>6</v>
      </c>
      <c r="Y309" s="174" t="s">
        <v>10</v>
      </c>
      <c r="Z309" s="109">
        <v>5</v>
      </c>
      <c r="AA309" s="174" t="s">
        <v>13</v>
      </c>
      <c r="AB309" s="564" t="s">
        <v>24</v>
      </c>
      <c r="AC309" s="565">
        <f t="shared" si="382"/>
        <v>2</v>
      </c>
      <c r="AD309" s="174" t="s">
        <v>38</v>
      </c>
      <c r="AE309" s="566" t="str">
        <f>IFERROR(ROUNDDOWN(ROUND(L308*R309,0)*M308,0)*AC309,"")</f>
        <v/>
      </c>
      <c r="AF309" s="567" t="str">
        <f>IFERROR(ROUNDDOWN(ROUND(L308*(R309-P309),0)*M308,0)*AC309,"")</f>
        <v/>
      </c>
      <c r="AG309" s="568"/>
      <c r="AH309" s="453"/>
      <c r="AI309" s="454"/>
      <c r="AJ309" s="455"/>
      <c r="AK309" s="456"/>
      <c r="AL309" s="457"/>
      <c r="AM309" s="458"/>
      <c r="AN309" s="569" t="str">
        <f t="shared" ref="AN309" si="413">IF(AP308="","",IF(OR(Z308=4,Z309=4,Z310=4),"！加算の要件上は問題ありませんが、算定期間の終わりが令和６年５月になっていません。区分変更の場合は、「基本情報入力シート」で同じ事業所を２行に分けて記入してください。",""))</f>
        <v/>
      </c>
      <c r="AO309" s="570"/>
      <c r="AP309" s="557" t="str">
        <f>IF(K308&lt;&gt;"","P列・R列に色付け","")</f>
        <v/>
      </c>
      <c r="AY309" s="543" t="str">
        <f>G308</f>
        <v/>
      </c>
    </row>
    <row r="310" spans="1:51" ht="32.1" customHeight="1" thickBot="1">
      <c r="A310" s="1227"/>
      <c r="B310" s="1224"/>
      <c r="C310" s="1224"/>
      <c r="D310" s="1224"/>
      <c r="E310" s="1224"/>
      <c r="F310" s="1224"/>
      <c r="G310" s="1236"/>
      <c r="H310" s="1236"/>
      <c r="I310" s="1236"/>
      <c r="J310" s="1236"/>
      <c r="K310" s="1236"/>
      <c r="L310" s="1239"/>
      <c r="M310" s="1294"/>
      <c r="N310" s="571" t="s">
        <v>140</v>
      </c>
      <c r="O310" s="155"/>
      <c r="P310" s="591" t="str">
        <f>IFERROR(VLOOKUP(K308,【参考】数式用!$A$5:$J$27,MATCH(O310,【参考】数式用!$B$4:$J$4,0)+1,0),"")</f>
        <v/>
      </c>
      <c r="Q310" s="153"/>
      <c r="R310" s="572" t="str">
        <f>IFERROR(VLOOKUP(K308,【参考】数式用!$A$5:$J$27,MATCH(Q310,【参考】数式用!$B$4:$J$4,0)+1,0),"")</f>
        <v/>
      </c>
      <c r="S310" s="573" t="s">
        <v>19</v>
      </c>
      <c r="T310" s="574">
        <v>6</v>
      </c>
      <c r="U310" s="575" t="s">
        <v>10</v>
      </c>
      <c r="V310" s="110">
        <v>4</v>
      </c>
      <c r="W310" s="575" t="s">
        <v>45</v>
      </c>
      <c r="X310" s="574">
        <v>6</v>
      </c>
      <c r="Y310" s="575" t="s">
        <v>10</v>
      </c>
      <c r="Z310" s="110">
        <v>5</v>
      </c>
      <c r="AA310" s="575" t="s">
        <v>13</v>
      </c>
      <c r="AB310" s="576" t="s">
        <v>24</v>
      </c>
      <c r="AC310" s="577">
        <f t="shared" si="382"/>
        <v>2</v>
      </c>
      <c r="AD310" s="575" t="s">
        <v>38</v>
      </c>
      <c r="AE310" s="590" t="str">
        <f>IFERROR(ROUNDDOWN(ROUND(L308*R310,0)*M308,0)*AC310,"")</f>
        <v/>
      </c>
      <c r="AF310" s="579" t="str">
        <f>IFERROR(ROUNDDOWN(ROUND(L308*(R310-P310),0)*M308,0)*AC310,"")</f>
        <v/>
      </c>
      <c r="AG310" s="580">
        <f t="shared" si="336"/>
        <v>0</v>
      </c>
      <c r="AH310" s="459"/>
      <c r="AI310" s="460"/>
      <c r="AJ310" s="461"/>
      <c r="AK310" s="462"/>
      <c r="AL310" s="463"/>
      <c r="AM310" s="464"/>
      <c r="AN310" s="581" t="str">
        <f t="shared" ref="AN310" si="414">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82" t="str">
        <f>IF(K308&lt;&gt;"","P列・R列に色付け","")</f>
        <v/>
      </c>
      <c r="AQ310" s="583"/>
      <c r="AR310" s="583"/>
      <c r="AX310" s="584"/>
      <c r="AY310" s="543" t="str">
        <f>G308</f>
        <v/>
      </c>
    </row>
    <row r="311" spans="1:51" ht="32.1" customHeight="1">
      <c r="A311" s="1225">
        <v>100</v>
      </c>
      <c r="B311" s="1222" t="str">
        <f>IF(基本情報入力シート!C153="","",基本情報入力シート!C153)</f>
        <v/>
      </c>
      <c r="C311" s="1222"/>
      <c r="D311" s="1222"/>
      <c r="E311" s="1222"/>
      <c r="F311" s="1222"/>
      <c r="G311" s="1234" t="str">
        <f>IF(基本情報入力シート!M153="","",基本情報入力シート!M153)</f>
        <v/>
      </c>
      <c r="H311" s="1234" t="str">
        <f>IF(基本情報入力シート!R153="","",基本情報入力シート!R153)</f>
        <v/>
      </c>
      <c r="I311" s="1234" t="str">
        <f>IF(基本情報入力シート!W153="","",基本情報入力シート!W153)</f>
        <v/>
      </c>
      <c r="J311" s="1234" t="str">
        <f>IF(基本情報入力シート!X153="","",基本情報入力シート!X153)</f>
        <v/>
      </c>
      <c r="K311" s="1234" t="str">
        <f>IF(基本情報入力シート!Y153="","",基本情報入力シート!Y153)</f>
        <v/>
      </c>
      <c r="L311" s="1237" t="str">
        <f>IF(基本情報入力シート!AB153="","",基本情報入力シート!AB153)</f>
        <v/>
      </c>
      <c r="M311" s="1292" t="str">
        <f>IF(基本情報入力シート!AC153="","",基本情報入力シート!AC153)</f>
        <v/>
      </c>
      <c r="N311" s="547" t="s">
        <v>183</v>
      </c>
      <c r="O311" s="151"/>
      <c r="P311" s="548" t="str">
        <f>IFERROR(VLOOKUP(K311,【参考】数式用!$A$5:$J$27,MATCH(O311,【参考】数式用!$B$4:$J$4,0)+1,0),"")</f>
        <v/>
      </c>
      <c r="Q311" s="151"/>
      <c r="R311" s="548" t="str">
        <f>IFERROR(VLOOKUP(K311,【参考】数式用!$A$5:$J$27,MATCH(Q311,【参考】数式用!$B$4:$J$4,0)+1,0),"")</f>
        <v/>
      </c>
      <c r="S311" s="549" t="s">
        <v>19</v>
      </c>
      <c r="T311" s="550">
        <v>6</v>
      </c>
      <c r="U311" s="202" t="s">
        <v>10</v>
      </c>
      <c r="V311" s="71">
        <v>4</v>
      </c>
      <c r="W311" s="202" t="s">
        <v>45</v>
      </c>
      <c r="X311" s="550">
        <v>6</v>
      </c>
      <c r="Y311" s="202" t="s">
        <v>10</v>
      </c>
      <c r="Z311" s="71">
        <v>5</v>
      </c>
      <c r="AA311" s="202" t="s">
        <v>13</v>
      </c>
      <c r="AB311" s="551" t="s">
        <v>24</v>
      </c>
      <c r="AC311" s="552">
        <f t="shared" si="382"/>
        <v>2</v>
      </c>
      <c r="AD311" s="202" t="s">
        <v>38</v>
      </c>
      <c r="AE311" s="553" t="str">
        <f>IFERROR(ROUNDDOWN(ROUND(L311*R311,0)*M311,0)*AC311,"")</f>
        <v/>
      </c>
      <c r="AF311" s="554" t="str">
        <f>IFERROR(ROUNDDOWN(ROUND(L311*(R311-P311),0)*M311,0)*AC311,"")</f>
        <v/>
      </c>
      <c r="AG311" s="555"/>
      <c r="AH311" s="465"/>
      <c r="AI311" s="473"/>
      <c r="AJ311" s="470"/>
      <c r="AK311" s="471"/>
      <c r="AL311" s="451"/>
      <c r="AM311" s="452"/>
      <c r="AN311" s="556" t="str">
        <f t="shared" ref="AN311" si="415">IF(AP311="","",IF(R311&lt;P311,"！加算の要件上は問題ありませんが、令和６年３月と比較して４・５月に加算率が下がる計画になっています。",""))</f>
        <v/>
      </c>
      <c r="AP311" s="557" t="str">
        <f>IF(K311&lt;&gt;"","P列・R列に色付け","")</f>
        <v/>
      </c>
      <c r="AQ311" s="558" t="str">
        <f>IFERROR(VLOOKUP(K311,【参考】数式用!$AJ$2:$AK$24,2,FALSE),"")</f>
        <v/>
      </c>
      <c r="AR311" s="560" t="str">
        <f>Q311&amp;Q312&amp;Q313</f>
        <v/>
      </c>
      <c r="AS311" s="558" t="str">
        <f t="shared" ref="AS311" si="416">IF(AG313&lt;&gt;0,IF(AH313="○","入力済","未入力"),"")</f>
        <v/>
      </c>
      <c r="AT311" s="559" t="str">
        <f>IF(OR(Q311="処遇加算Ⅰ",Q311="処遇加算Ⅱ"),IF(OR(AI311="○",AI311="令和６年度中に満たす"),"入力済","未入力"),"")</f>
        <v/>
      </c>
      <c r="AU311" s="560" t="str">
        <f>IF(Q311="処遇加算Ⅲ",IF(AJ311="○","入力済","未入力"),"")</f>
        <v/>
      </c>
      <c r="AV311" s="558" t="str">
        <f>IF(Q311="処遇加算Ⅰ",IF(OR(AK311="○",AK311="令和６年度中に満たす"),"入力済","未入力"),"")</f>
        <v/>
      </c>
      <c r="AW311" s="558"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43" t="str">
        <f>IF(Q312="特定加算Ⅰ",IF(AM312="","未入力","入力済"),"")</f>
        <v/>
      </c>
      <c r="AY311" s="543" t="str">
        <f>G311</f>
        <v/>
      </c>
    </row>
    <row r="312" spans="1:51" ht="32.1" customHeight="1">
      <c r="A312" s="1226"/>
      <c r="B312" s="1223"/>
      <c r="C312" s="1223"/>
      <c r="D312" s="1223"/>
      <c r="E312" s="1223"/>
      <c r="F312" s="1223"/>
      <c r="G312" s="1235"/>
      <c r="H312" s="1235"/>
      <c r="I312" s="1235"/>
      <c r="J312" s="1235"/>
      <c r="K312" s="1235"/>
      <c r="L312" s="1238"/>
      <c r="M312" s="1293"/>
      <c r="N312" s="561" t="s">
        <v>170</v>
      </c>
      <c r="O312" s="152"/>
      <c r="P312" s="562" t="str">
        <f>IFERROR(VLOOKUP(K311,【参考】数式用!$A$5:$J$27,MATCH(O312,【参考】数式用!$B$4:$J$4,0)+1,0),"")</f>
        <v/>
      </c>
      <c r="Q312" s="152"/>
      <c r="R312" s="562" t="str">
        <f>IFERROR(VLOOKUP(K311,【参考】数式用!$A$5:$J$27,MATCH(Q312,【参考】数式用!$B$4:$J$4,0)+1,0),"")</f>
        <v/>
      </c>
      <c r="S312" s="173" t="s">
        <v>19</v>
      </c>
      <c r="T312" s="563">
        <v>6</v>
      </c>
      <c r="U312" s="174" t="s">
        <v>10</v>
      </c>
      <c r="V312" s="109">
        <v>4</v>
      </c>
      <c r="W312" s="174" t="s">
        <v>45</v>
      </c>
      <c r="X312" s="563">
        <v>6</v>
      </c>
      <c r="Y312" s="174" t="s">
        <v>10</v>
      </c>
      <c r="Z312" s="109">
        <v>5</v>
      </c>
      <c r="AA312" s="174" t="s">
        <v>13</v>
      </c>
      <c r="AB312" s="564" t="s">
        <v>24</v>
      </c>
      <c r="AC312" s="565">
        <f t="shared" si="382"/>
        <v>2</v>
      </c>
      <c r="AD312" s="174" t="s">
        <v>38</v>
      </c>
      <c r="AE312" s="566" t="str">
        <f>IFERROR(ROUNDDOWN(ROUND(L311*R312,0)*M311,0)*AC312,"")</f>
        <v/>
      </c>
      <c r="AF312" s="567" t="str">
        <f>IFERROR(ROUNDDOWN(ROUND(L311*(R312-P312),0)*M311,0)*AC312,"")</f>
        <v/>
      </c>
      <c r="AG312" s="568"/>
      <c r="AH312" s="453"/>
      <c r="AI312" s="454"/>
      <c r="AJ312" s="455"/>
      <c r="AK312" s="456"/>
      <c r="AL312" s="457"/>
      <c r="AM312" s="458"/>
      <c r="AN312" s="569" t="str">
        <f t="shared" ref="AN312" si="417">IF(AP311="","",IF(OR(Z311=4,Z312=4,Z313=4),"！加算の要件上は問題ありませんが、算定期間の終わりが令和６年５月になっていません。区分変更の場合は、「基本情報入力シート」で同じ事業所を２行に分けて記入してください。",""))</f>
        <v/>
      </c>
      <c r="AO312" s="570"/>
      <c r="AP312" s="557" t="str">
        <f>IF(K311&lt;&gt;"","P列・R列に色付け","")</f>
        <v/>
      </c>
      <c r="AY312" s="543" t="str">
        <f>G311</f>
        <v/>
      </c>
    </row>
    <row r="313" spans="1:51" ht="32.1" customHeight="1" thickBot="1">
      <c r="A313" s="1227"/>
      <c r="B313" s="1224"/>
      <c r="C313" s="1224"/>
      <c r="D313" s="1224"/>
      <c r="E313" s="1224"/>
      <c r="F313" s="1224"/>
      <c r="G313" s="1236"/>
      <c r="H313" s="1236"/>
      <c r="I313" s="1236"/>
      <c r="J313" s="1236"/>
      <c r="K313" s="1236"/>
      <c r="L313" s="1239"/>
      <c r="M313" s="1294"/>
      <c r="N313" s="571" t="s">
        <v>140</v>
      </c>
      <c r="O313" s="683"/>
      <c r="P313" s="682" t="str">
        <f>IFERROR(VLOOKUP(K311,【参考】数式用!$A$5:$J$27,MATCH(O313,【参考】数式用!$B$4:$J$4,0)+1,0),"")</f>
        <v/>
      </c>
      <c r="Q313" s="153"/>
      <c r="R313" s="572" t="str">
        <f>IFERROR(VLOOKUP(K311,【参考】数式用!$A$5:$J$27,MATCH(Q313,【参考】数式用!$B$4:$J$4,0)+1,0),"")</f>
        <v/>
      </c>
      <c r="S313" s="573" t="s">
        <v>19</v>
      </c>
      <c r="T313" s="574">
        <v>6</v>
      </c>
      <c r="U313" s="575" t="s">
        <v>10</v>
      </c>
      <c r="V313" s="110">
        <v>4</v>
      </c>
      <c r="W313" s="575" t="s">
        <v>45</v>
      </c>
      <c r="X313" s="574">
        <v>6</v>
      </c>
      <c r="Y313" s="575" t="s">
        <v>10</v>
      </c>
      <c r="Z313" s="110">
        <v>5</v>
      </c>
      <c r="AA313" s="575" t="s">
        <v>13</v>
      </c>
      <c r="AB313" s="576" t="s">
        <v>24</v>
      </c>
      <c r="AC313" s="577">
        <f t="shared" si="382"/>
        <v>2</v>
      </c>
      <c r="AD313" s="575" t="s">
        <v>38</v>
      </c>
      <c r="AE313" s="590" t="str">
        <f>IFERROR(ROUNDDOWN(ROUND(L311*R313,0)*M311,0)*AC313,"")</f>
        <v/>
      </c>
      <c r="AF313" s="579" t="str">
        <f>IFERROR(ROUNDDOWN(ROUND(L311*(R313-P313),0)*M311,0)*AC313,"")</f>
        <v/>
      </c>
      <c r="AG313" s="580">
        <f t="shared" si="336"/>
        <v>0</v>
      </c>
      <c r="AH313" s="459"/>
      <c r="AI313" s="460"/>
      <c r="AJ313" s="461"/>
      <c r="AK313" s="462"/>
      <c r="AL313" s="463"/>
      <c r="AM313" s="464"/>
      <c r="AN313" s="581" t="str">
        <f t="shared" ref="AN313" si="418">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57" t="str">
        <f>IF(K311&lt;&gt;"","P列・R列に色付け","")</f>
        <v/>
      </c>
      <c r="AQ313" s="583"/>
      <c r="AR313" s="583"/>
      <c r="AX313" s="584"/>
      <c r="AY313" s="543" t="str">
        <f>G311</f>
        <v/>
      </c>
    </row>
    <row r="314" spans="1:51">
      <c r="K314" s="491"/>
      <c r="L314" s="428"/>
      <c r="M314" s="428"/>
      <c r="N314" s="428"/>
      <c r="O314" s="599"/>
      <c r="P314" s="600"/>
      <c r="Q314" s="599"/>
      <c r="R314" s="600"/>
      <c r="S314" s="428"/>
      <c r="AP314" s="163"/>
      <c r="AQ314" s="163"/>
      <c r="AR314" s="163"/>
      <c r="AS314" s="163"/>
      <c r="AT314" s="163"/>
      <c r="AU314" s="163"/>
      <c r="AV314" s="163"/>
      <c r="AW314" s="163"/>
      <c r="AX314" s="163"/>
    </row>
  </sheetData>
  <sheetProtection algorithmName="SHA-512" hashValue="36/RNKl3q0TMO4hG6YiZYZdVWC4BCEPdhZmLeM3aT5o/IVWj2Wo6OB78m+Ksh1VvV+gmWXMjCwKk4uhCqD9YIA==" saltValue="SYGKwMzSvBm6yf78YUOq3Q==" spinCount="100000" sheet="1" formatCells="0" formatColumns="0" formatRows="0" sort="0" autoFilter="0"/>
  <autoFilter ref="A13:AY313" xr:uid="{00000000-0001-0000-0400-000000000000}">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I224:I226"/>
    <mergeCell ref="J224:J226"/>
    <mergeCell ref="K224:K226"/>
    <mergeCell ref="L224:L226"/>
    <mergeCell ref="M224:M226"/>
    <mergeCell ref="G227:G229"/>
    <mergeCell ref="H227:H229"/>
    <mergeCell ref="I227:I229"/>
    <mergeCell ref="J227:J229"/>
    <mergeCell ref="K227:K229"/>
    <mergeCell ref="L227:L229"/>
    <mergeCell ref="M227:M229"/>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J188:J190"/>
    <mergeCell ref="K188:K190"/>
    <mergeCell ref="L188:L190"/>
    <mergeCell ref="M188:M190"/>
    <mergeCell ref="G191:G193"/>
    <mergeCell ref="H191:H193"/>
    <mergeCell ref="I191:I193"/>
    <mergeCell ref="J191:J193"/>
    <mergeCell ref="K191:K193"/>
    <mergeCell ref="L191:L193"/>
    <mergeCell ref="M191:M193"/>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52:L154"/>
    <mergeCell ref="M152:M154"/>
    <mergeCell ref="B155:F157"/>
    <mergeCell ref="G155:G157"/>
    <mergeCell ref="H155:H157"/>
    <mergeCell ref="I155:I157"/>
    <mergeCell ref="J155:J157"/>
    <mergeCell ref="K155:K157"/>
    <mergeCell ref="L155:L157"/>
    <mergeCell ref="M155:M157"/>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J113:J115"/>
    <mergeCell ref="K113:K115"/>
    <mergeCell ref="L113:L115"/>
    <mergeCell ref="M113:M115"/>
    <mergeCell ref="G116:G118"/>
    <mergeCell ref="H116:H118"/>
    <mergeCell ref="I116:I118"/>
    <mergeCell ref="J116:J118"/>
    <mergeCell ref="K116:K118"/>
    <mergeCell ref="L116:L118"/>
    <mergeCell ref="M116:M118"/>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G107:G109"/>
    <mergeCell ref="H107:H109"/>
    <mergeCell ref="I107:I109"/>
    <mergeCell ref="J107:J109"/>
    <mergeCell ref="K107:K109"/>
    <mergeCell ref="L89:L91"/>
    <mergeCell ref="M89:M91"/>
    <mergeCell ref="L92:L94"/>
    <mergeCell ref="M92:M94"/>
    <mergeCell ref="B95:F97"/>
    <mergeCell ref="G95:G97"/>
    <mergeCell ref="H95:H97"/>
    <mergeCell ref="I95:I97"/>
    <mergeCell ref="J95:J97"/>
    <mergeCell ref="K95:K97"/>
    <mergeCell ref="L95:L97"/>
    <mergeCell ref="M95:M97"/>
    <mergeCell ref="B89:F91"/>
    <mergeCell ref="J89:J91"/>
    <mergeCell ref="K89:K91"/>
    <mergeCell ref="J80:J82"/>
    <mergeCell ref="K80:K82"/>
    <mergeCell ref="L80:L82"/>
    <mergeCell ref="M80:M82"/>
    <mergeCell ref="B83:F85"/>
    <mergeCell ref="G83:G85"/>
    <mergeCell ref="H83:H85"/>
    <mergeCell ref="I83:I85"/>
    <mergeCell ref="J83:J85"/>
    <mergeCell ref="K83:K85"/>
    <mergeCell ref="L83:L85"/>
    <mergeCell ref="M83:M85"/>
    <mergeCell ref="B80:F82"/>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H56:H58"/>
    <mergeCell ref="I56:I58"/>
    <mergeCell ref="J56:J58"/>
    <mergeCell ref="K56:K58"/>
    <mergeCell ref="L56:L58"/>
    <mergeCell ref="N12:N13"/>
    <mergeCell ref="K14:K16"/>
    <mergeCell ref="L14:L16"/>
    <mergeCell ref="M14:M16"/>
    <mergeCell ref="K12:K13"/>
    <mergeCell ref="L12:L13"/>
    <mergeCell ref="M12:M13"/>
    <mergeCell ref="H12:I12"/>
    <mergeCell ref="L32:L34"/>
    <mergeCell ref="M32:M34"/>
    <mergeCell ref="H35:H37"/>
    <mergeCell ref="I35:I37"/>
    <mergeCell ref="L20:L22"/>
    <mergeCell ref="M20:M22"/>
    <mergeCell ref="H14:H16"/>
    <mergeCell ref="I14:I16"/>
    <mergeCell ref="J14:J16"/>
    <mergeCell ref="J12:J13"/>
    <mergeCell ref="J26:J28"/>
    <mergeCell ref="K26:K28"/>
    <mergeCell ref="L26:L28"/>
    <mergeCell ref="M26:M28"/>
    <mergeCell ref="J29:J31"/>
    <mergeCell ref="K29:K31"/>
    <mergeCell ref="L29:L31"/>
    <mergeCell ref="I59:I61"/>
    <mergeCell ref="J59:J61"/>
    <mergeCell ref="K59:K61"/>
    <mergeCell ref="I53:I55"/>
    <mergeCell ref="J53:J55"/>
    <mergeCell ref="K53:K55"/>
    <mergeCell ref="L53:L55"/>
    <mergeCell ref="M53:M55"/>
    <mergeCell ref="M29:M31"/>
    <mergeCell ref="K41:K43"/>
    <mergeCell ref="L41:L43"/>
    <mergeCell ref="M41:M43"/>
    <mergeCell ref="K47:K49"/>
    <mergeCell ref="L47:L49"/>
    <mergeCell ref="M47:M49"/>
    <mergeCell ref="J23:J25"/>
    <mergeCell ref="K23:K25"/>
    <mergeCell ref="L23:L25"/>
    <mergeCell ref="M23:M25"/>
    <mergeCell ref="K98:K100"/>
    <mergeCell ref="G44:G46"/>
    <mergeCell ref="H44:H46"/>
    <mergeCell ref="I44:I46"/>
    <mergeCell ref="J44:J46"/>
    <mergeCell ref="K44:K46"/>
    <mergeCell ref="L44:L46"/>
    <mergeCell ref="M44:M46"/>
    <mergeCell ref="G50:G52"/>
    <mergeCell ref="H50:H52"/>
    <mergeCell ref="I50:I52"/>
    <mergeCell ref="J50:J52"/>
    <mergeCell ref="M35:M37"/>
    <mergeCell ref="J38:J40"/>
    <mergeCell ref="K38:K40"/>
    <mergeCell ref="L38:L40"/>
    <mergeCell ref="M38:M40"/>
    <mergeCell ref="I32:I34"/>
    <mergeCell ref="J32:J34"/>
    <mergeCell ref="K32:K34"/>
    <mergeCell ref="A41:A43"/>
    <mergeCell ref="B32:F34"/>
    <mergeCell ref="B35:F37"/>
    <mergeCell ref="I26:I28"/>
    <mergeCell ref="B125:F127"/>
    <mergeCell ref="G125:G127"/>
    <mergeCell ref="H125:H127"/>
    <mergeCell ref="I125:I127"/>
    <mergeCell ref="J125:J127"/>
    <mergeCell ref="A86:A88"/>
    <mergeCell ref="B47:F49"/>
    <mergeCell ref="G47:G49"/>
    <mergeCell ref="H47:H49"/>
    <mergeCell ref="A89:A91"/>
    <mergeCell ref="A95:A97"/>
    <mergeCell ref="A98:A100"/>
    <mergeCell ref="A101:A103"/>
    <mergeCell ref="A104:A106"/>
    <mergeCell ref="A107:A109"/>
    <mergeCell ref="I47:I49"/>
    <mergeCell ref="J47:J49"/>
    <mergeCell ref="B44:F46"/>
    <mergeCell ref="H89:H91"/>
    <mergeCell ref="I89:I91"/>
    <mergeCell ref="K125:K127"/>
    <mergeCell ref="K50:K52"/>
    <mergeCell ref="L50:L52"/>
    <mergeCell ref="M50:M52"/>
    <mergeCell ref="B71:F73"/>
    <mergeCell ref="G71:G73"/>
    <mergeCell ref="H71:H73"/>
    <mergeCell ref="I71:I73"/>
    <mergeCell ref="J71:J73"/>
    <mergeCell ref="K71:K73"/>
    <mergeCell ref="L59:L61"/>
    <mergeCell ref="M59:M61"/>
    <mergeCell ref="B59:F61"/>
    <mergeCell ref="G59:G61"/>
    <mergeCell ref="H59:H61"/>
    <mergeCell ref="G53:G55"/>
    <mergeCell ref="H53:H55"/>
    <mergeCell ref="B56:F58"/>
    <mergeCell ref="G56:G58"/>
    <mergeCell ref="B119:F121"/>
    <mergeCell ref="B53:F55"/>
    <mergeCell ref="B62:F64"/>
    <mergeCell ref="B98:F100"/>
    <mergeCell ref="G89:G91"/>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B14:F16"/>
    <mergeCell ref="A6:J6"/>
    <mergeCell ref="A5:J5"/>
    <mergeCell ref="A7:J7"/>
    <mergeCell ref="A9:J9"/>
    <mergeCell ref="A14:A16"/>
    <mergeCell ref="G14:G16"/>
    <mergeCell ref="B12:F13"/>
    <mergeCell ref="G12:G13"/>
    <mergeCell ref="A10:L11"/>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B92:F94"/>
    <mergeCell ref="A44:A46"/>
    <mergeCell ref="A47:A49"/>
    <mergeCell ref="A50:A52"/>
    <mergeCell ref="A53:A55"/>
    <mergeCell ref="A56:A58"/>
    <mergeCell ref="A59:A61"/>
    <mergeCell ref="A62:A64"/>
    <mergeCell ref="A65:A67"/>
    <mergeCell ref="A68:A70"/>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B38:F40"/>
    <mergeCell ref="G38:G40"/>
    <mergeCell ref="H38:H40"/>
    <mergeCell ref="I38:I40"/>
    <mergeCell ref="G35:G37"/>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B140:F142"/>
    <mergeCell ref="B128:F130"/>
    <mergeCell ref="B131:F133"/>
    <mergeCell ref="B146:F148"/>
    <mergeCell ref="A137:A139"/>
    <mergeCell ref="A140:A142"/>
    <mergeCell ref="A143:A145"/>
    <mergeCell ref="A146:A148"/>
    <mergeCell ref="B110:F112"/>
    <mergeCell ref="B107:F109"/>
    <mergeCell ref="G92:G94"/>
    <mergeCell ref="H92:H94"/>
    <mergeCell ref="I92:I94"/>
    <mergeCell ref="J92:J94"/>
    <mergeCell ref="K92:K94"/>
    <mergeCell ref="G98:G100"/>
    <mergeCell ref="H98:H100"/>
    <mergeCell ref="I98:I100"/>
    <mergeCell ref="J98:J100"/>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AF14:AF314">
    <cfRule type="expression" dxfId="35" priority="2">
      <formula>AF14&lt;0</formula>
    </cfRule>
  </conditionalFormatting>
  <conditionalFormatting sqref="AH16:AH314">
    <cfRule type="expression" dxfId="34" priority="9">
      <formula>AND($O16="ベア加算なし",$Q16="ベア加算")</formula>
    </cfRule>
  </conditionalFormatting>
  <conditionalFormatting sqref="AI14:AI314">
    <cfRule type="expression" dxfId="33" priority="1841">
      <formula>OR(Q14="処遇加算Ⅰ",Q14="処遇加算Ⅱ")</formula>
    </cfRule>
  </conditionalFormatting>
  <conditionalFormatting sqref="AJ14:AJ314">
    <cfRule type="expression" dxfId="32" priority="1840">
      <formula>Q14="処遇加算Ⅲ"</formula>
    </cfRule>
  </conditionalFormatting>
  <conditionalFormatting sqref="AK14:AK314">
    <cfRule type="expression" dxfId="31" priority="1839">
      <formula>Q14="処遇加算Ⅰ"</formula>
    </cfRule>
  </conditionalFormatting>
  <conditionalFormatting sqref="AL11">
    <cfRule type="expression" dxfId="30" priority="18368">
      <formula>$AL$11="○"</formula>
    </cfRule>
  </conditionalFormatting>
  <conditionalFormatting sqref="AL15:AL313">
    <cfRule type="expression" dxfId="29"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Q15="特定加算Ⅰ"</formula>
    </cfRule>
  </conditionalFormatting>
  <conditionalFormatting sqref="AN11">
    <cfRule type="expression" dxfId="27" priority="18370">
      <formula>$AL$11&lt;&gt;"×"</formula>
    </cfRule>
  </conditionalFormatting>
  <conditionalFormatting sqref="Z14:Z314">
    <cfRule type="expression" dxfId="26" priority="1">
      <formula>Z14=4</formula>
    </cfRule>
  </conditionalFormatting>
  <conditionalFormatting sqref="AL314">
    <cfRule type="expression" dxfId="25"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xr:uid="{9D7BBBF0-529A-4139-889E-88335B52E894}"/>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xr:uid="{89F9D969-0B2A-473D-8612-572DE778FBCF}">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xr:uid="{F027BA2D-6999-4AC6-B317-61A9B1DCC048}">
      <formula1>0</formula1>
    </dataValidation>
    <dataValidation type="list" imeMode="halfAlpha" allowBlank="1" showInputMessage="1" showErrorMessage="1" sqref="Z14:Z313 V14:V313" xr:uid="{E446CE97-4DE0-4465-92B9-C47847EF3A79}">
      <formula1>"4,5"</formula1>
    </dataValidation>
  </dataValidations>
  <pageMargins left="0.70866141732283472" right="0.70866141732283472" top="0.74803149606299213" bottom="0.74803149606299213" header="0.31496062992125984" footer="0.31496062992125984"/>
  <pageSetup paperSize="9" scale="36"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FB378FD6-E085-4BB9-B1D7-64006E1966CE}">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r:uid="{EED9C900-33C8-43FB-B557-AC56EFEE80B7}">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r:uid="{F0148E1D-EA22-441F-86CB-EC018CAFD32B}">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r:uid="{83283E03-2F2D-4108-A174-BBBEB8960A3A}">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r:uid="{DAC6713D-4C0F-4DD3-960C-B09E14C5D00B}">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r:uid="{DA5C3058-0595-4197-BC70-03F71769AB95}">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CF0A7-3E13-495A-94E5-37F3334B84AF}">
  <sheetPr codeName="Sheet3">
    <pageSetUpPr fitToPage="1"/>
  </sheetPr>
  <dimension ref="A1:BL413"/>
  <sheetViews>
    <sheetView view="pageBreakPreview" zoomScale="60" zoomScaleNormal="85" zoomScalePageLayoutView="70" workbookViewId="0"/>
  </sheetViews>
  <sheetFormatPr defaultColWidth="2.5" defaultRowHeight="17.25"/>
  <cols>
    <col min="1" max="1" width="5.625" style="163" customWidth="1"/>
    <col min="2" max="6" width="2.625" style="598" customWidth="1"/>
    <col min="7" max="7" width="12.625" style="163" customWidth="1"/>
    <col min="8" max="8" width="9" style="163" customWidth="1"/>
    <col min="9" max="9" width="9.375" style="680" customWidth="1"/>
    <col min="10" max="10" width="14.625" style="163" customWidth="1"/>
    <col min="11" max="11" width="17.375" style="273" customWidth="1"/>
    <col min="12" max="12" width="14" style="163" customWidth="1"/>
    <col min="13" max="13" width="7.625" style="163" customWidth="1"/>
    <col min="14" max="14" width="15" style="603" customWidth="1"/>
    <col min="15" max="15" width="5.875" style="603" customWidth="1"/>
    <col min="16" max="16" width="2.125" style="602" customWidth="1"/>
    <col min="17" max="17" width="15" style="603" customWidth="1"/>
    <col min="18" max="18" width="2" style="603" customWidth="1"/>
    <col min="19" max="19" width="7.125" style="603" customWidth="1"/>
    <col min="20" max="20" width="18.375" style="603" customWidth="1"/>
    <col min="21" max="21" width="15.125" style="602" customWidth="1"/>
    <col min="22" max="22" width="7" style="603" customWidth="1"/>
    <col min="23" max="23" width="4.625" style="273" customWidth="1"/>
    <col min="24" max="25" width="2.875" style="273" customWidth="1"/>
    <col min="26" max="26" width="3.625" style="273" customWidth="1"/>
    <col min="27" max="27" width="9.875" style="273" customWidth="1"/>
    <col min="28" max="29" width="2.875" style="273" customWidth="1"/>
    <col min="30" max="30" width="3.5" style="273" customWidth="1"/>
    <col min="31" max="32" width="2.875" style="273" customWidth="1"/>
    <col min="33" max="33" width="4.625" style="273" customWidth="1"/>
    <col min="34" max="34" width="6.125" style="273" customWidth="1"/>
    <col min="35" max="37" width="14.375" style="603" customWidth="1"/>
    <col min="38" max="38" width="9.875" style="163" customWidth="1"/>
    <col min="39" max="39" width="14.375" style="603" customWidth="1"/>
    <col min="40" max="40" width="9.875" style="163" customWidth="1"/>
    <col min="41" max="41" width="11.875" style="163" customWidth="1"/>
    <col min="42" max="42" width="9.875" style="163" customWidth="1"/>
    <col min="43" max="43" width="12.25" style="163" customWidth="1"/>
    <col min="44" max="44" width="11.875" style="653" customWidth="1"/>
    <col min="45" max="45" width="22.375" style="431" customWidth="1"/>
    <col min="46" max="46" width="50.625" style="431" customWidth="1"/>
    <col min="47" max="47" width="7.125" style="431" customWidth="1"/>
    <col min="48" max="62" width="6.875" style="428" hidden="1" customWidth="1"/>
    <col min="63" max="63" width="6.875" style="584" hidden="1" customWidth="1"/>
    <col min="64" max="64" width="22.125" style="163" customWidth="1"/>
    <col min="65" max="16384" width="2.5" style="163"/>
  </cols>
  <sheetData>
    <row r="1" spans="1:64" ht="29.25" customHeight="1">
      <c r="A1" s="677" t="s">
        <v>2211</v>
      </c>
      <c r="B1" s="485"/>
      <c r="C1" s="485"/>
      <c r="D1" s="485"/>
      <c r="E1" s="485"/>
      <c r="F1" s="485"/>
      <c r="G1" s="162"/>
      <c r="H1" s="162"/>
      <c r="I1" s="678"/>
      <c r="J1" s="162"/>
      <c r="K1" s="161"/>
      <c r="L1" s="162"/>
      <c r="M1" s="162"/>
      <c r="N1" s="487"/>
      <c r="O1" s="487"/>
      <c r="P1" s="604"/>
      <c r="Q1" s="605"/>
      <c r="R1" s="605"/>
      <c r="S1" s="487"/>
      <c r="T1" s="605"/>
      <c r="U1" s="604"/>
      <c r="V1" s="605"/>
      <c r="W1" s="271"/>
      <c r="X1" s="606"/>
      <c r="Y1" s="606"/>
      <c r="Z1" s="606"/>
      <c r="AA1" s="606"/>
      <c r="AB1" s="606"/>
      <c r="AC1" s="606"/>
      <c r="AD1" s="606"/>
      <c r="AE1" s="606"/>
      <c r="AF1" s="606"/>
      <c r="AG1" s="606"/>
      <c r="AH1" s="606"/>
      <c r="AI1" s="607"/>
      <c r="AJ1" s="605"/>
      <c r="AK1" s="607"/>
      <c r="AL1" s="608"/>
      <c r="AM1" s="607"/>
      <c r="AN1" s="608"/>
      <c r="AO1" s="160"/>
      <c r="AP1" s="160"/>
      <c r="AQ1" s="1519" t="s">
        <v>54</v>
      </c>
      <c r="AR1" s="1520"/>
      <c r="AS1" s="609" t="str">
        <f>IF(基本情報入力シート!C33="","",基本情報入力シート!C33)</f>
        <v/>
      </c>
      <c r="AT1" s="610"/>
      <c r="AU1" s="611"/>
      <c r="BF1" s="584"/>
      <c r="BG1" s="163"/>
      <c r="BH1" s="163"/>
      <c r="BI1" s="163"/>
      <c r="BJ1" s="163"/>
      <c r="BK1" s="163"/>
    </row>
    <row r="2" spans="1:64" ht="21" customHeight="1" thickBot="1">
      <c r="A2" s="162"/>
      <c r="B2" s="486"/>
      <c r="C2" s="486"/>
      <c r="D2" s="486"/>
      <c r="E2" s="486"/>
      <c r="F2" s="486"/>
      <c r="G2" s="487"/>
      <c r="H2" s="487"/>
      <c r="I2" s="679"/>
      <c r="J2" s="487"/>
      <c r="K2" s="161"/>
      <c r="L2" s="487"/>
      <c r="M2" s="487"/>
      <c r="N2" s="487"/>
      <c r="O2" s="487"/>
      <c r="P2" s="604"/>
      <c r="Q2" s="605"/>
      <c r="R2" s="605"/>
      <c r="S2" s="487"/>
      <c r="T2" s="605"/>
      <c r="U2" s="604"/>
      <c r="V2" s="605"/>
      <c r="W2" s="271"/>
      <c r="X2" s="271"/>
      <c r="Y2" s="271"/>
      <c r="Z2" s="271"/>
      <c r="AA2" s="271"/>
      <c r="AB2" s="271"/>
      <c r="AC2" s="271"/>
      <c r="AD2" s="271"/>
      <c r="AE2" s="271"/>
      <c r="AF2" s="271"/>
      <c r="AG2" s="271"/>
      <c r="AH2" s="271"/>
      <c r="AI2" s="607"/>
      <c r="AJ2" s="605"/>
      <c r="AK2" s="605"/>
      <c r="AL2" s="160"/>
      <c r="AM2" s="605"/>
      <c r="AN2" s="160"/>
      <c r="AO2" s="160"/>
      <c r="AP2" s="160"/>
      <c r="AQ2" s="160"/>
      <c r="AR2" s="612"/>
      <c r="AS2" s="525"/>
      <c r="AT2" s="525"/>
      <c r="AV2" s="613"/>
      <c r="AW2" s="584"/>
      <c r="AX2" s="613"/>
      <c r="BF2" s="584"/>
      <c r="BG2" s="163"/>
      <c r="BH2" s="163"/>
      <c r="BI2" s="163"/>
      <c r="BJ2" s="163"/>
      <c r="BK2" s="163"/>
    </row>
    <row r="3" spans="1:64" ht="27" customHeight="1" thickBot="1">
      <c r="A3" s="1255" t="s">
        <v>5</v>
      </c>
      <c r="B3" s="1255"/>
      <c r="C3" s="1256"/>
      <c r="D3" s="1252" t="str">
        <f>IF(基本情報入力シート!M38="","",基本情報入力シート!M38)</f>
        <v/>
      </c>
      <c r="E3" s="1253"/>
      <c r="F3" s="1253"/>
      <c r="G3" s="1253"/>
      <c r="H3" s="1253"/>
      <c r="I3" s="1253"/>
      <c r="J3" s="1254"/>
      <c r="K3" s="161"/>
      <c r="L3" s="496"/>
      <c r="M3" s="496"/>
      <c r="N3" s="504"/>
      <c r="O3" s="504"/>
      <c r="P3" s="614"/>
      <c r="Q3" s="615"/>
      <c r="R3" s="615"/>
      <c r="S3" s="504"/>
      <c r="T3" s="605"/>
      <c r="U3" s="604"/>
      <c r="V3" s="605"/>
      <c r="W3" s="271"/>
      <c r="X3" s="606"/>
      <c r="Y3" s="606"/>
      <c r="Z3" s="606"/>
      <c r="AA3" s="606"/>
      <c r="AB3" s="606"/>
      <c r="AC3" s="606"/>
      <c r="AD3" s="606"/>
      <c r="AE3" s="606"/>
      <c r="AF3" s="606"/>
      <c r="AG3" s="606"/>
      <c r="AH3" s="606"/>
      <c r="AI3" s="607"/>
      <c r="AJ3" s="605"/>
      <c r="AK3" s="605"/>
      <c r="AL3" s="160"/>
      <c r="AM3" s="605"/>
      <c r="AN3" s="160"/>
      <c r="AO3" s="160"/>
      <c r="AP3" s="160"/>
      <c r="AQ3" s="160"/>
      <c r="AR3" s="612"/>
      <c r="AS3" s="525"/>
      <c r="AT3" s="525"/>
      <c r="BF3" s="584"/>
      <c r="BG3" s="163"/>
      <c r="BH3" s="163"/>
      <c r="BI3" s="163"/>
      <c r="BJ3" s="163"/>
      <c r="BK3" s="163"/>
    </row>
    <row r="4" spans="1:64" ht="21" customHeight="1" thickBot="1">
      <c r="A4" s="497"/>
      <c r="B4" s="498"/>
      <c r="C4" s="498"/>
      <c r="D4" s="499"/>
      <c r="E4" s="499"/>
      <c r="F4" s="499"/>
      <c r="G4" s="500"/>
      <c r="H4" s="500"/>
      <c r="I4" s="500"/>
      <c r="J4" s="500"/>
      <c r="K4" s="500"/>
      <c r="L4" s="496"/>
      <c r="M4" s="496"/>
      <c r="N4" s="504"/>
      <c r="O4" s="504"/>
      <c r="P4" s="614"/>
      <c r="Q4" s="615"/>
      <c r="R4" s="615"/>
      <c r="S4" s="504"/>
      <c r="T4" s="605"/>
      <c r="U4" s="604"/>
      <c r="V4" s="605"/>
      <c r="W4" s="271"/>
      <c r="X4" s="606"/>
      <c r="Y4" s="606"/>
      <c r="Z4" s="606"/>
      <c r="AA4" s="606"/>
      <c r="AB4" s="606"/>
      <c r="AC4" s="606"/>
      <c r="AD4" s="606"/>
      <c r="AE4" s="606"/>
      <c r="AF4" s="606"/>
      <c r="AG4" s="606"/>
      <c r="AH4" s="606"/>
      <c r="AI4" s="607"/>
      <c r="AJ4" s="605"/>
      <c r="AK4" s="605"/>
      <c r="AL4" s="160"/>
      <c r="AM4" s="605"/>
      <c r="AN4" s="160"/>
      <c r="AO4" s="160"/>
      <c r="AP4" s="160"/>
      <c r="AQ4" s="160"/>
      <c r="AR4" s="612"/>
      <c r="AS4" s="525"/>
      <c r="AT4" s="525"/>
      <c r="BF4" s="584"/>
      <c r="BG4" s="163"/>
      <c r="BH4" s="163"/>
      <c r="BI4" s="163"/>
      <c r="BJ4" s="163"/>
      <c r="BK4" s="163"/>
    </row>
    <row r="5" spans="1:64" ht="35.25" customHeight="1">
      <c r="A5" s="1333" t="s">
        <v>2364</v>
      </c>
      <c r="B5" s="1228"/>
      <c r="C5" s="1228"/>
      <c r="D5" s="1228"/>
      <c r="E5" s="1228"/>
      <c r="F5" s="1228"/>
      <c r="G5" s="1228"/>
      <c r="H5" s="1228"/>
      <c r="I5" s="1228"/>
      <c r="J5" s="1228"/>
      <c r="K5" s="1229"/>
      <c r="L5" s="616">
        <f>IFERROR(SUMIF(T:T, "令和６年度の算定予定", AI:AI),"")</f>
        <v>0</v>
      </c>
      <c r="M5" s="502" t="s">
        <v>1</v>
      </c>
      <c r="N5" s="605"/>
      <c r="O5" s="504"/>
      <c r="P5" s="614"/>
      <c r="Q5" s="615"/>
      <c r="R5" s="615"/>
      <c r="S5" s="504"/>
      <c r="T5" s="605"/>
      <c r="U5" s="604"/>
      <c r="V5" s="605"/>
      <c r="W5" s="271"/>
      <c r="X5" s="606"/>
      <c r="Y5" s="606"/>
      <c r="Z5" s="606"/>
      <c r="AA5" s="606"/>
      <c r="AB5" s="606"/>
      <c r="AC5" s="606"/>
      <c r="AD5" s="606"/>
      <c r="AE5" s="606"/>
      <c r="AF5" s="606"/>
      <c r="AG5" s="606"/>
      <c r="AH5" s="606"/>
      <c r="AI5" s="607"/>
      <c r="AJ5" s="605"/>
      <c r="AK5" s="605"/>
      <c r="AL5" s="160"/>
      <c r="AM5" s="605"/>
      <c r="AN5" s="160"/>
      <c r="AO5" s="617"/>
      <c r="AP5" s="509"/>
      <c r="AQ5" s="509"/>
      <c r="AR5" s="618"/>
      <c r="AS5" s="509"/>
      <c r="AT5" s="512"/>
      <c r="AU5" s="619"/>
      <c r="BF5" s="584"/>
      <c r="BG5" s="163"/>
      <c r="BH5" s="163"/>
      <c r="BI5" s="163"/>
      <c r="BJ5" s="163"/>
      <c r="BK5" s="163"/>
    </row>
    <row r="6" spans="1:64" ht="35.25" customHeight="1" thickBot="1">
      <c r="A6" s="620"/>
      <c r="B6" s="1334" t="s">
        <v>2365</v>
      </c>
      <c r="C6" s="1228"/>
      <c r="D6" s="1228"/>
      <c r="E6" s="1228"/>
      <c r="F6" s="1228"/>
      <c r="G6" s="1228"/>
      <c r="H6" s="1228"/>
      <c r="I6" s="1228"/>
      <c r="J6" s="1228"/>
      <c r="K6" s="1229"/>
      <c r="L6" s="621">
        <f>IFERROR(SUMIF(T:T, "令和６年度の算定予定", AK:AK),"")</f>
        <v>0</v>
      </c>
      <c r="M6" s="502" t="s">
        <v>1</v>
      </c>
      <c r="N6" s="605"/>
      <c r="O6" s="487"/>
      <c r="P6" s="604"/>
      <c r="Q6" s="615"/>
      <c r="R6" s="615"/>
      <c r="S6" s="504"/>
      <c r="T6" s="605"/>
      <c r="U6" s="604"/>
      <c r="V6" s="605"/>
      <c r="W6" s="271"/>
      <c r="X6" s="606"/>
      <c r="Y6" s="606"/>
      <c r="Z6" s="606"/>
      <c r="AA6" s="606"/>
      <c r="AB6" s="606"/>
      <c r="AC6" s="606"/>
      <c r="AD6" s="606"/>
      <c r="AE6" s="606"/>
      <c r="AF6" s="606"/>
      <c r="AG6" s="606"/>
      <c r="AH6" s="606"/>
      <c r="AI6" s="607"/>
      <c r="AJ6" s="605"/>
      <c r="AK6" s="622" t="s">
        <v>2206</v>
      </c>
      <c r="AL6" s="623"/>
      <c r="AM6" s="523"/>
      <c r="AN6" s="623"/>
      <c r="AO6" s="624"/>
      <c r="AP6" s="512"/>
      <c r="AQ6" s="512"/>
      <c r="AR6" s="625"/>
      <c r="AS6" s="512"/>
      <c r="AT6" s="512"/>
      <c r="AU6" s="619"/>
      <c r="AY6" s="626" t="s">
        <v>2198</v>
      </c>
      <c r="AZ6" s="1517" t="str">
        <f>IF(OR(AZ7="旧処遇加算Ⅰ相当あり",AZ8="旧処遇加算Ⅰ相当あり"),"旧処遇加算Ⅰ相当あり","旧処遇加算Ⅰ相当なし")</f>
        <v>旧処遇加算Ⅰ相当なし</v>
      </c>
      <c r="BA6" s="1517"/>
      <c r="BB6" s="1517"/>
      <c r="BC6" s="1517" t="str">
        <f>IF(OR(BC7="旧処遇加算Ⅰ・Ⅱ相当あり",BC8="旧処遇加算Ⅰ・Ⅱ相当あり"),"旧処遇加算Ⅰ・Ⅱ相当あり","旧処遇加算Ⅰ・Ⅱ相当なし")</f>
        <v>旧処遇加算Ⅰ・Ⅱ相当なし</v>
      </c>
      <c r="BD6" s="1517"/>
      <c r="BE6" s="1517"/>
      <c r="BF6" s="1517" t="str">
        <f>IF(OR(BF7="旧特定加算相当あり",BF8="旧特定加算相当あり"),"旧特定加算相当あり","旧特定加算相当なし")</f>
        <v>旧特定加算相当なし</v>
      </c>
      <c r="BG6" s="1517"/>
      <c r="BH6" s="1517"/>
      <c r="BI6" s="1517" t="str">
        <f>IF(OR(BI7="旧特定加算Ⅰ相当あり",BI8="旧特定加算Ⅰ相当あり"),"旧特定加算Ⅰ相当あり","旧特定加算Ⅰ相当なし")</f>
        <v>旧特定加算Ⅰ相当なし</v>
      </c>
      <c r="BJ6" s="1517"/>
      <c r="BK6" s="1517"/>
    </row>
    <row r="7" spans="1:64" ht="35.25" customHeight="1">
      <c r="A7" s="620"/>
      <c r="B7" s="1334" t="s">
        <v>2366</v>
      </c>
      <c r="C7" s="1228"/>
      <c r="D7" s="1228"/>
      <c r="E7" s="1228"/>
      <c r="F7" s="1228"/>
      <c r="G7" s="1228"/>
      <c r="H7" s="1228"/>
      <c r="I7" s="1228"/>
      <c r="J7" s="1228"/>
      <c r="K7" s="1229"/>
      <c r="L7" s="621">
        <f>IFERROR(SUMIF(T:T, "令和６年度の算定予定", AM:AM),"")</f>
        <v>0</v>
      </c>
      <c r="M7" s="502" t="s">
        <v>1</v>
      </c>
      <c r="N7" s="605"/>
      <c r="O7" s="487"/>
      <c r="P7" s="604"/>
      <c r="Q7" s="615"/>
      <c r="R7" s="615"/>
      <c r="S7" s="504"/>
      <c r="T7" s="605"/>
      <c r="U7" s="604"/>
      <c r="V7" s="605"/>
      <c r="W7" s="271"/>
      <c r="X7" s="606"/>
      <c r="Y7" s="606"/>
      <c r="Z7" s="606"/>
      <c r="AA7" s="606"/>
      <c r="AB7" s="606"/>
      <c r="AC7" s="606"/>
      <c r="AD7" s="606"/>
      <c r="AE7" s="606"/>
      <c r="AF7" s="606"/>
      <c r="AG7" s="606"/>
      <c r="AH7" s="606"/>
      <c r="AI7" s="607"/>
      <c r="AJ7" s="605"/>
      <c r="AK7" s="1400" t="s">
        <v>2112</v>
      </c>
      <c r="AL7" s="1401"/>
      <c r="AM7" s="1401"/>
      <c r="AN7" s="1401"/>
      <c r="AO7" s="1401"/>
      <c r="AP7" s="1401"/>
      <c r="AQ7" s="1402"/>
      <c r="AR7" s="627">
        <f>SUMIF(T:T,"令和６年度の算定予定",AR:AR)</f>
        <v>0</v>
      </c>
      <c r="AS7" s="525"/>
      <c r="AT7" s="525"/>
      <c r="AY7" s="626" t="s">
        <v>2197</v>
      </c>
      <c r="AZ7" s="1517"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旧処遇加算Ⅰ相当なし</v>
      </c>
      <c r="BA7" s="1517"/>
      <c r="BB7" s="1517"/>
      <c r="BC7" s="1517"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旧処遇加算Ⅰ・Ⅱ相当なし</v>
      </c>
      <c r="BD7" s="1517"/>
      <c r="BE7" s="1517"/>
      <c r="BF7" s="1517"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旧特定加算相当なし</v>
      </c>
      <c r="BG7" s="1517"/>
      <c r="BH7" s="1517"/>
      <c r="BI7" s="1517"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旧特定加算Ⅰ相当なし</v>
      </c>
      <c r="BJ7" s="1517"/>
      <c r="BK7" s="1517"/>
    </row>
    <row r="8" spans="1:64" ht="35.25" customHeight="1" thickBot="1">
      <c r="A8" s="628"/>
      <c r="B8" s="1334" t="s">
        <v>2367</v>
      </c>
      <c r="C8" s="1228"/>
      <c r="D8" s="1228"/>
      <c r="E8" s="1228"/>
      <c r="F8" s="1228"/>
      <c r="G8" s="1228"/>
      <c r="H8" s="1228"/>
      <c r="I8" s="1228"/>
      <c r="J8" s="1228"/>
      <c r="K8" s="1229"/>
      <c r="L8" s="629">
        <f>IFERROR(SUMIF(T:T, "令和６年度の算定予定", AJ:AJ),"")</f>
        <v>0</v>
      </c>
      <c r="M8" s="502" t="s">
        <v>1</v>
      </c>
      <c r="N8" s="605"/>
      <c r="O8" s="487"/>
      <c r="P8" s="604"/>
      <c r="Q8" s="622"/>
      <c r="R8" s="523"/>
      <c r="S8" s="523"/>
      <c r="T8" s="630"/>
      <c r="U8" s="631"/>
      <c r="V8" s="605"/>
      <c r="W8" s="271"/>
      <c r="X8" s="271"/>
      <c r="Y8" s="271"/>
      <c r="Z8" s="606"/>
      <c r="AA8" s="271"/>
      <c r="AB8" s="271"/>
      <c r="AC8" s="271"/>
      <c r="AD8" s="271"/>
      <c r="AE8" s="271"/>
      <c r="AF8" s="271"/>
      <c r="AG8" s="271"/>
      <c r="AH8" s="271"/>
      <c r="AI8" s="632"/>
      <c r="AJ8" s="605"/>
      <c r="AK8" s="1400" t="s">
        <v>2323</v>
      </c>
      <c r="AL8" s="1401"/>
      <c r="AM8" s="1401"/>
      <c r="AN8" s="1401"/>
      <c r="AO8" s="1401"/>
      <c r="AP8" s="1401"/>
      <c r="AQ8" s="1402"/>
      <c r="AR8" s="633">
        <f>SUM(BJ:BJ)</f>
        <v>0</v>
      </c>
      <c r="AS8" s="525"/>
      <c r="AT8" s="525"/>
      <c r="AY8" s="626" t="s">
        <v>2339</v>
      </c>
      <c r="AZ8" s="1517" t="str">
        <f>'別紙様式2-4（年度内の区分変更がある場合に記入）'!AV7</f>
        <v>旧処遇加算Ⅰ相当なし</v>
      </c>
      <c r="BA8" s="1517"/>
      <c r="BB8" s="1517"/>
      <c r="BC8" s="1517" t="str">
        <f>'別紙様式2-4（年度内の区分変更がある場合に記入）'!AX7</f>
        <v>旧処遇加算Ⅰ・Ⅱ相当なし</v>
      </c>
      <c r="BD8" s="1517"/>
      <c r="BE8" s="1517"/>
      <c r="BF8" s="1517" t="str">
        <f>'別紙様式2-4（年度内の区分変更がある場合に記入）'!AZ7</f>
        <v>旧特定加算相当なし</v>
      </c>
      <c r="BG8" s="1517"/>
      <c r="BH8" s="1517"/>
      <c r="BI8" s="1517" t="str">
        <f>'別紙様式2-4（年度内の区分変更がある場合に記入）'!BC7</f>
        <v>旧特定加算Ⅰ相当なし</v>
      </c>
      <c r="BJ8" s="1517"/>
      <c r="BK8" s="1517"/>
    </row>
    <row r="9" spans="1:64" ht="35.25" customHeight="1" thickBot="1">
      <c r="A9" s="1335" t="s">
        <v>2221</v>
      </c>
      <c r="B9" s="1336"/>
      <c r="C9" s="1336"/>
      <c r="D9" s="1336"/>
      <c r="E9" s="1336"/>
      <c r="F9" s="1336"/>
      <c r="G9" s="1336"/>
      <c r="H9" s="1336"/>
      <c r="I9" s="1336"/>
      <c r="J9" s="1336"/>
      <c r="K9" s="1337"/>
      <c r="L9" s="634">
        <f>IFERROR(SUMIF(T:T, "（参考）令和７年度の移行予定", AJ:AJ),"")</f>
        <v>0</v>
      </c>
      <c r="M9" s="502" t="s">
        <v>1</v>
      </c>
      <c r="N9" s="605"/>
      <c r="O9" s="487"/>
      <c r="P9" s="604"/>
      <c r="Q9" s="622"/>
      <c r="R9" s="523"/>
      <c r="S9" s="523"/>
      <c r="T9" s="630"/>
      <c r="U9" s="631"/>
      <c r="V9" s="605"/>
      <c r="W9" s="271"/>
      <c r="X9" s="271"/>
      <c r="Y9" s="271"/>
      <c r="Z9" s="606"/>
      <c r="AA9" s="271"/>
      <c r="AB9" s="271"/>
      <c r="AC9" s="271"/>
      <c r="AD9" s="271"/>
      <c r="AE9" s="271"/>
      <c r="AF9" s="271"/>
      <c r="AG9" s="271"/>
      <c r="AH9" s="271"/>
      <c r="AI9" s="632"/>
      <c r="AJ9" s="605"/>
      <c r="AK9" s="523"/>
      <c r="AL9" s="519"/>
      <c r="AM9" s="523"/>
      <c r="AO9" s="519"/>
      <c r="AP9" s="519"/>
      <c r="AQ9" s="519"/>
      <c r="AR9" s="635"/>
      <c r="AS9" s="525"/>
      <c r="AT9" s="525"/>
      <c r="AY9" s="636"/>
      <c r="AZ9" s="521"/>
      <c r="BA9" s="521"/>
      <c r="BB9" s="521"/>
      <c r="BC9" s="521"/>
      <c r="BD9" s="521"/>
      <c r="BE9" s="521"/>
      <c r="BF9" s="521"/>
      <c r="BG9" s="521"/>
      <c r="BH9" s="521"/>
      <c r="BI9" s="521"/>
      <c r="BJ9" s="521"/>
      <c r="BK9" s="521"/>
    </row>
    <row r="10" spans="1:64" ht="35.25" customHeight="1" thickBot="1">
      <c r="A10" s="1290" t="s">
        <v>2370</v>
      </c>
      <c r="B10" s="1290"/>
      <c r="C10" s="1290"/>
      <c r="D10" s="1290"/>
      <c r="E10" s="1290"/>
      <c r="F10" s="1290"/>
      <c r="G10" s="1290"/>
      <c r="H10" s="1290"/>
      <c r="I10" s="1290"/>
      <c r="J10" s="1290"/>
      <c r="K10" s="1290"/>
      <c r="L10" s="1290"/>
      <c r="M10" s="162"/>
      <c r="N10" s="487"/>
      <c r="O10" s="487"/>
      <c r="P10" s="604"/>
      <c r="Q10" s="622"/>
      <c r="R10" s="523"/>
      <c r="S10" s="523"/>
      <c r="T10" s="630"/>
      <c r="U10" s="631"/>
      <c r="V10" s="605"/>
      <c r="W10" s="271"/>
      <c r="X10" s="271"/>
      <c r="Y10" s="271"/>
      <c r="Z10" s="606"/>
      <c r="AA10" s="271"/>
      <c r="AB10" s="271"/>
      <c r="AC10" s="271"/>
      <c r="AD10" s="271"/>
      <c r="AE10" s="271"/>
      <c r="AF10" s="271"/>
      <c r="AG10" s="271"/>
      <c r="AH10" s="271"/>
      <c r="AI10" s="632"/>
      <c r="AJ10" s="605"/>
      <c r="AK10" s="605"/>
      <c r="AL10" s="160"/>
      <c r="AM10" s="605"/>
      <c r="AN10" s="519"/>
      <c r="AO10" s="519"/>
      <c r="AP10" s="519"/>
      <c r="AQ10" s="519"/>
      <c r="AR10" s="523"/>
      <c r="AS10" s="519"/>
      <c r="AT10" s="525"/>
      <c r="AV10" s="163"/>
      <c r="AW10" s="163"/>
      <c r="AX10" s="163"/>
      <c r="AY10" s="163"/>
      <c r="AZ10" s="163"/>
      <c r="BA10" s="163"/>
      <c r="BB10" s="163"/>
      <c r="BC10" s="163"/>
      <c r="BD10" s="163"/>
      <c r="BE10" s="163"/>
      <c r="BF10" s="163"/>
      <c r="BK10" s="428"/>
    </row>
    <row r="11" spans="1:64" ht="32.25" customHeight="1" thickBot="1">
      <c r="A11" s="1291"/>
      <c r="B11" s="1291"/>
      <c r="C11" s="1291"/>
      <c r="D11" s="1291"/>
      <c r="E11" s="1291"/>
      <c r="F11" s="1291"/>
      <c r="G11" s="1291"/>
      <c r="H11" s="1291"/>
      <c r="I11" s="1291"/>
      <c r="J11" s="1291"/>
      <c r="K11" s="1291"/>
      <c r="L11" s="1291"/>
      <c r="M11" s="162"/>
      <c r="N11" s="487"/>
      <c r="O11" s="487"/>
      <c r="P11" s="604"/>
      <c r="Q11" s="605"/>
      <c r="R11" s="605"/>
      <c r="S11" s="487"/>
      <c r="T11" s="605"/>
      <c r="U11" s="604"/>
      <c r="V11" s="605"/>
      <c r="W11" s="271"/>
      <c r="X11" s="606"/>
      <c r="Y11" s="606"/>
      <c r="Z11" s="606"/>
      <c r="AA11" s="606"/>
      <c r="AB11" s="606"/>
      <c r="AC11" s="606"/>
      <c r="AD11" s="606"/>
      <c r="AE11" s="606"/>
      <c r="AF11" s="606"/>
      <c r="AG11" s="606"/>
      <c r="AH11" s="606"/>
      <c r="AI11" s="637"/>
      <c r="AJ11" s="605"/>
      <c r="AK11" s="637"/>
      <c r="AL11" s="492"/>
      <c r="AM11" s="1513" t="str">
        <f>IFERROR(IF(COUNTIF(BF:BF,"未入力")=0,"○","未入力あり"),"")</f>
        <v>○</v>
      </c>
      <c r="AN11" s="1514"/>
      <c r="AO11" s="638" t="str">
        <f>IFERROR(IF(COUNTIF(BG:BG,"未入力")=0,"○","未入力あり"),"")</f>
        <v>○</v>
      </c>
      <c r="AP11" s="638" t="str">
        <f>IFERROR(IF(COUNTIF(BH:BH,"未入力")=0,"○","未入力あり"),"")</f>
        <v>○</v>
      </c>
      <c r="AQ11" s="638" t="str">
        <f>IFERROR(IF(COUNTIF(BI:BI,"未入力")=0,"○","未入力あり"),"")</f>
        <v>○</v>
      </c>
      <c r="AR11" s="639" t="str">
        <f>IF(BF7="旧特定加算相当なし","",IF(AR7&gt;=AR8,"○","×"))</f>
        <v/>
      </c>
      <c r="AS11" s="640" t="str">
        <f>IF(BI7="旧特定加算Ⅰ相当なし","",IF(COUNTIF(BK:BK,"未入力")=0,"○","未入力あり"))</f>
        <v/>
      </c>
      <c r="AT11" s="641" t="s">
        <v>2205</v>
      </c>
      <c r="AV11" s="642"/>
      <c r="AW11" s="642"/>
      <c r="AX11" s="163"/>
      <c r="AY11" s="163"/>
      <c r="AZ11" s="163"/>
      <c r="BA11" s="163"/>
      <c r="BB11" s="163"/>
      <c r="BC11" s="163"/>
      <c r="BD11" s="163"/>
    </row>
    <row r="12" spans="1:64" ht="53.25" customHeight="1">
      <c r="A12" s="1474"/>
      <c r="B12" s="1282" t="s">
        <v>2326</v>
      </c>
      <c r="C12" s="1283"/>
      <c r="D12" s="1283"/>
      <c r="E12" s="1283"/>
      <c r="F12" s="1284"/>
      <c r="G12" s="1288" t="s">
        <v>63</v>
      </c>
      <c r="H12" s="1308" t="s">
        <v>88</v>
      </c>
      <c r="I12" s="1308"/>
      <c r="J12" s="1309" t="s">
        <v>69</v>
      </c>
      <c r="K12" s="1302" t="s">
        <v>40</v>
      </c>
      <c r="L12" s="1304" t="s">
        <v>2176</v>
      </c>
      <c r="M12" s="1306" t="s">
        <v>67</v>
      </c>
      <c r="N12" s="1322" t="s">
        <v>2268</v>
      </c>
      <c r="O12" s="1323" t="s">
        <v>2167</v>
      </c>
      <c r="P12" s="1417" t="s">
        <v>2332</v>
      </c>
      <c r="Q12" s="1418"/>
      <c r="R12" s="1419"/>
      <c r="S12" s="1431" t="s">
        <v>2113</v>
      </c>
      <c r="T12" s="1339" t="s">
        <v>2168</v>
      </c>
      <c r="U12" s="1340"/>
      <c r="V12" s="1323" t="s">
        <v>177</v>
      </c>
      <c r="W12" s="1441" t="s">
        <v>2296</v>
      </c>
      <c r="X12" s="1442"/>
      <c r="Y12" s="1442"/>
      <c r="Z12" s="1442"/>
      <c r="AA12" s="1442"/>
      <c r="AB12" s="1442"/>
      <c r="AC12" s="1442"/>
      <c r="AD12" s="1442"/>
      <c r="AE12" s="1442"/>
      <c r="AF12" s="1442"/>
      <c r="AG12" s="1442"/>
      <c r="AH12" s="1443"/>
      <c r="AI12" s="1441" t="s">
        <v>2169</v>
      </c>
      <c r="AJ12" s="1437" t="s">
        <v>2329</v>
      </c>
      <c r="AK12" s="1439" t="s">
        <v>2194</v>
      </c>
      <c r="AL12" s="1440"/>
      <c r="AM12" s="1515" t="s">
        <v>2177</v>
      </c>
      <c r="AN12" s="1328"/>
      <c r="AO12" s="1327" t="s">
        <v>241</v>
      </c>
      <c r="AP12" s="1328"/>
      <c r="AQ12" s="531" t="s">
        <v>235</v>
      </c>
      <c r="AR12" s="531" t="s">
        <v>239</v>
      </c>
      <c r="AS12" s="532" t="s">
        <v>240</v>
      </c>
      <c r="AT12" s="1343" t="s">
        <v>2325</v>
      </c>
      <c r="AU12" s="542"/>
      <c r="AV12" s="1338" t="s">
        <v>2324</v>
      </c>
      <c r="AW12" s="1338"/>
      <c r="BL12" s="1232" t="s">
        <v>2358</v>
      </c>
    </row>
    <row r="13" spans="1:64" ht="159.75" customHeight="1" thickBot="1">
      <c r="A13" s="1475"/>
      <c r="B13" s="1285"/>
      <c r="C13" s="1286"/>
      <c r="D13" s="1286"/>
      <c r="E13" s="1286"/>
      <c r="F13" s="1287"/>
      <c r="G13" s="1289"/>
      <c r="H13" s="533" t="s">
        <v>2327</v>
      </c>
      <c r="I13" s="533" t="s">
        <v>2328</v>
      </c>
      <c r="J13" s="1310"/>
      <c r="K13" s="1303"/>
      <c r="L13" s="1305"/>
      <c r="M13" s="1473"/>
      <c r="N13" s="1425"/>
      <c r="O13" s="1426"/>
      <c r="P13" s="1420"/>
      <c r="Q13" s="1421"/>
      <c r="R13" s="1422"/>
      <c r="S13" s="1432"/>
      <c r="T13" s="1341"/>
      <c r="U13" s="1342"/>
      <c r="V13" s="1426"/>
      <c r="W13" s="1444"/>
      <c r="X13" s="1445"/>
      <c r="Y13" s="1445"/>
      <c r="Z13" s="1445"/>
      <c r="AA13" s="1445"/>
      <c r="AB13" s="1445"/>
      <c r="AC13" s="1445"/>
      <c r="AD13" s="1445"/>
      <c r="AE13" s="1445"/>
      <c r="AF13" s="1445"/>
      <c r="AG13" s="1445"/>
      <c r="AH13" s="1446"/>
      <c r="AI13" s="1476"/>
      <c r="AJ13" s="1438"/>
      <c r="AK13" s="643" t="s">
        <v>2354</v>
      </c>
      <c r="AL13" s="538" t="s">
        <v>2191</v>
      </c>
      <c r="AM13" s="538" t="s">
        <v>2174</v>
      </c>
      <c r="AN13" s="539" t="s">
        <v>2192</v>
      </c>
      <c r="AO13" s="539" t="s">
        <v>2330</v>
      </c>
      <c r="AP13" s="538" t="s">
        <v>2331</v>
      </c>
      <c r="AQ13" s="540" t="s">
        <v>234</v>
      </c>
      <c r="AR13" s="540" t="s">
        <v>2341</v>
      </c>
      <c r="AS13" s="676" t="s">
        <v>2335</v>
      </c>
      <c r="AT13" s="1231"/>
      <c r="AU13" s="644"/>
      <c r="AV13" s="543" t="s">
        <v>2187</v>
      </c>
      <c r="AW13" s="645" t="s">
        <v>2214</v>
      </c>
      <c r="AX13" s="646" t="s">
        <v>2215</v>
      </c>
      <c r="AY13" s="543" t="s">
        <v>2181</v>
      </c>
      <c r="AZ13" s="1493" t="s">
        <v>2196</v>
      </c>
      <c r="BA13" s="1493"/>
      <c r="BB13" s="1493"/>
      <c r="BC13" s="1493"/>
      <c r="BD13" s="1493"/>
      <c r="BE13" s="1493"/>
      <c r="BF13" s="543" t="s">
        <v>2195</v>
      </c>
      <c r="BG13" s="543" t="s">
        <v>2182</v>
      </c>
      <c r="BH13" s="543" t="s">
        <v>2183</v>
      </c>
      <c r="BI13" s="543" t="s">
        <v>2184</v>
      </c>
      <c r="BJ13" s="546" t="s">
        <v>2185</v>
      </c>
      <c r="BK13" s="546" t="s">
        <v>2186</v>
      </c>
      <c r="BL13" s="1332"/>
    </row>
    <row r="14" spans="1:64" ht="30" customHeight="1">
      <c r="A14" s="1225">
        <v>1</v>
      </c>
      <c r="B14" s="1271" t="str">
        <f>IF(基本情報入力シート!C54="","",基本情報入力シート!C54)</f>
        <v/>
      </c>
      <c r="C14" s="1259"/>
      <c r="D14" s="1259"/>
      <c r="E14" s="1259"/>
      <c r="F14" s="1260"/>
      <c r="G14" s="1265" t="str">
        <f>IF(基本情報入力シート!M54="","",基本情報入力シート!M54)</f>
        <v/>
      </c>
      <c r="H14" s="1265" t="str">
        <f>IF(基本情報入力シート!R54="","",基本情報入力シート!R54)</f>
        <v/>
      </c>
      <c r="I14" s="1265" t="str">
        <f>IF(基本情報入力シート!W54="","",基本情報入力シート!W54)</f>
        <v/>
      </c>
      <c r="J14" s="1379" t="str">
        <f>IF(基本情報入力シート!X54="","",基本情報入力シート!X54)</f>
        <v/>
      </c>
      <c r="K14" s="1265" t="str">
        <f>IF(基本情報入力シート!Y54="","",基本情報入力シート!Y54)</f>
        <v/>
      </c>
      <c r="L14" s="1450" t="str">
        <f>IF(基本情報入力シート!AB54="","",基本情報入力シート!AB54)</f>
        <v/>
      </c>
      <c r="M14" s="1447" t="str">
        <f>IF(基本情報入力シート!AC54="","",基本情報入力シート!AC54)</f>
        <v/>
      </c>
      <c r="N14" s="647" t="str">
        <f>IF('別紙様式2-2（４・５月分）'!Q14="","",'別紙様式2-2（４・５月分）'!Q14)</f>
        <v/>
      </c>
      <c r="O14" s="1427" t="str">
        <f>IF(SUM('別紙様式2-2（４・５月分）'!R14:R16)=0,"",SUM('別紙様式2-2（４・５月分）'!R14:R16))</f>
        <v/>
      </c>
      <c r="P14" s="1380" t="str">
        <f>IFERROR(VLOOKUP('別紙様式2-2（４・５月分）'!AR14,【参考】数式用!$AT$5:$AU$22,2,FALSE),"")</f>
        <v/>
      </c>
      <c r="Q14" s="1381"/>
      <c r="R14" s="1382"/>
      <c r="S14" s="1477" t="str">
        <f>IFERROR(VLOOKUP(K14,【参考】数式用!$A$5:$AB$27,MATCH(P14,【参考】数式用!$B$4:$AB$4,0)+1,0),"")</f>
        <v/>
      </c>
      <c r="T14" s="1413" t="s">
        <v>2173</v>
      </c>
      <c r="U14" s="1415"/>
      <c r="V14" s="1348" t="str">
        <f>IFERROR(VLOOKUP(K14,【参考】数式用!$A$5:$AB$27,MATCH(U14,【参考】数式用!$B$4:$AB$4,0)+1,0),"")</f>
        <v/>
      </c>
      <c r="W14" s="1350" t="s">
        <v>19</v>
      </c>
      <c r="X14" s="1352">
        <v>6</v>
      </c>
      <c r="Y14" s="1354" t="s">
        <v>10</v>
      </c>
      <c r="Z14" s="1352">
        <v>6</v>
      </c>
      <c r="AA14" s="1354" t="s">
        <v>45</v>
      </c>
      <c r="AB14" s="1352">
        <v>7</v>
      </c>
      <c r="AC14" s="1354" t="s">
        <v>10</v>
      </c>
      <c r="AD14" s="1352">
        <v>3</v>
      </c>
      <c r="AE14" s="1354" t="s">
        <v>13</v>
      </c>
      <c r="AF14" s="1354" t="s">
        <v>24</v>
      </c>
      <c r="AG14" s="1354">
        <f>IF(X14&gt;=1,(AB14*12+AD14)-(X14*12+Z14)+1,"")</f>
        <v>10</v>
      </c>
      <c r="AH14" s="1360" t="s">
        <v>38</v>
      </c>
      <c r="AI14" s="1362" t="str">
        <f>IFERROR(ROUNDDOWN(ROUND(L14*V14,0)*M14,0)*AG14,"")</f>
        <v/>
      </c>
      <c r="AJ14" s="1467" t="str">
        <f>IFERROR(ROUNDDOWN(ROUND((L14*(V14-AX14)),0)*M14,0)*AG14,"")</f>
        <v/>
      </c>
      <c r="AK14" s="1485">
        <f>IFERROR(IF(OR(N14="",N15="",N17=""),0,ROUNDDOWN(ROUNDDOWN(ROUND(L14*VLOOKUP(K14,【参考】数式用!$A$5:$AB$27,MATCH("新加算Ⅳ",【参考】数式用!$B$4:$AB$4,0)+1,0),0)*M14,0)*AG14*0.5,0)),"")</f>
        <v>0</v>
      </c>
      <c r="AL14" s="1433"/>
      <c r="AM14" s="1487">
        <f>IFERROR(IF(OR(N17="ベア加算",N17=""),0, IF(OR(U14="新加算Ⅰ",U14="新加算Ⅱ",U14="新加算Ⅲ",U14="新加算Ⅳ"),ROUNDDOWN(ROUND(L14*VLOOKUP(K14,【参考】数式用!$A$5:$I$27,MATCH("ベア加算",【参考】数式用!$B$4:$I$4,0)+1,0),0)*M14,0)*AG14,0)),"")</f>
        <v>0</v>
      </c>
      <c r="AN14" s="1502"/>
      <c r="AO14" s="1364"/>
      <c r="AP14" s="1403"/>
      <c r="AQ14" s="1403"/>
      <c r="AR14" s="1489"/>
      <c r="AS14" s="1491"/>
      <c r="AT14" s="556" t="str">
        <f>IF(AV14="","",IF(V14&lt;O14,"！加算の要件上は問題ありませんが、令和６年４・５月と比較して令和６年６月に加算率が下がる計画になっています。",""))</f>
        <v/>
      </c>
      <c r="AU14" s="648"/>
      <c r="AV14" s="1493" t="str">
        <f>IF(K14&lt;&gt;"","V列に色付け","")</f>
        <v/>
      </c>
      <c r="AW14" s="649" t="str">
        <f>IF('別紙様式2-2（４・５月分）'!O14="","",'別紙様式2-2（４・５月分）'!O14)</f>
        <v/>
      </c>
      <c r="AX14" s="1507" t="str">
        <f>IF(SUM('別紙様式2-2（４・５月分）'!P14:P16)=0,"",SUM('別紙様式2-2（４・５月分）'!P14:P16))</f>
        <v/>
      </c>
      <c r="AY14" s="1506" t="str">
        <f>IFERROR(VLOOKUP(K14,【参考】数式用!$AJ$2:$AK$24,2,FALSE),"")</f>
        <v/>
      </c>
      <c r="AZ14" s="1321" t="s">
        <v>2098</v>
      </c>
      <c r="BA14" s="1321" t="s">
        <v>2099</v>
      </c>
      <c r="BB14" s="1321" t="s">
        <v>2100</v>
      </c>
      <c r="BC14" s="1321" t="s">
        <v>2101</v>
      </c>
      <c r="BD14" s="1321" t="str">
        <f>IF(AND(P14&lt;&gt;"新加算Ⅰ",P14&lt;&gt;"新加算Ⅱ",P14&lt;&gt;"新加算Ⅲ",P14&lt;&gt;"新加算Ⅳ"),P14,IF(Q16&lt;&gt;"",Q16,""))</f>
        <v/>
      </c>
      <c r="BE14" s="1321"/>
      <c r="BF14" s="1321" t="str">
        <f>IF(AM14&lt;&gt;0,IF(AN14="○","入力済","未入力"),"")</f>
        <v/>
      </c>
      <c r="BG14" s="1321"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
      </c>
      <c r="BH14" s="1321" t="str">
        <f>IF(OR(U14="新加算Ⅴ（７）",U14="新加算Ⅴ（９）",U14="新加算Ⅴ（10）",U14="新加算Ⅴ（12）",U14="新加算Ⅴ（13）",U14="新加算Ⅴ（14）"),IF(OR(AP14="○",AP14="令和６年度中に満たす"),"入力済","未入力"),"")</f>
        <v/>
      </c>
      <c r="BI14" s="1321" t="str">
        <f>IF(OR(U14="新加算Ⅰ",U14="新加算Ⅱ",U14="新加算Ⅲ",U14="新加算Ⅴ（１）",U14="新加算Ⅴ（３）",U14="新加算Ⅴ（８）"),IF(OR(AQ14="○",AQ14="令和６年度中に満たす"),"入力済","未入力"),"")</f>
        <v/>
      </c>
      <c r="BJ14" s="1512" t="str">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
      </c>
      <c r="BK14" s="1493" t="str">
        <f>IF(OR(U14="新加算Ⅰ",U14="新加算Ⅴ（１）",U14="新加算Ⅴ（２）",U14="新加算Ⅴ（５）",U14="新加算Ⅴ（７）",U14="新加算Ⅴ（10）"),IF(AS14="","未入力","入力済"),"")</f>
        <v/>
      </c>
      <c r="BL14" s="543" t="str">
        <f>G14</f>
        <v/>
      </c>
    </row>
    <row r="15" spans="1:64" ht="15" customHeight="1">
      <c r="A15" s="1226"/>
      <c r="B15" s="1272"/>
      <c r="C15" s="1261"/>
      <c r="D15" s="1261"/>
      <c r="E15" s="1261"/>
      <c r="F15" s="1262"/>
      <c r="G15" s="1266"/>
      <c r="H15" s="1266"/>
      <c r="I15" s="1266"/>
      <c r="J15" s="1372"/>
      <c r="K15" s="1266"/>
      <c r="L15" s="1451"/>
      <c r="M15" s="1448"/>
      <c r="N15" s="1370" t="str">
        <f>IF('別紙様式2-2（４・５月分）'!Q15="","",'別紙様式2-2（４・５月分）'!Q15)</f>
        <v/>
      </c>
      <c r="O15" s="1428"/>
      <c r="P15" s="1383"/>
      <c r="Q15" s="1384"/>
      <c r="R15" s="1385"/>
      <c r="S15" s="1478"/>
      <c r="T15" s="1414"/>
      <c r="U15" s="1416"/>
      <c r="V15" s="1349"/>
      <c r="W15" s="1351"/>
      <c r="X15" s="1353"/>
      <c r="Y15" s="1355"/>
      <c r="Z15" s="1353"/>
      <c r="AA15" s="1355"/>
      <c r="AB15" s="1353"/>
      <c r="AC15" s="1355"/>
      <c r="AD15" s="1353"/>
      <c r="AE15" s="1355"/>
      <c r="AF15" s="1355"/>
      <c r="AG15" s="1355"/>
      <c r="AH15" s="1361"/>
      <c r="AI15" s="1363"/>
      <c r="AJ15" s="1468"/>
      <c r="AK15" s="1486"/>
      <c r="AL15" s="1434"/>
      <c r="AM15" s="1488"/>
      <c r="AN15" s="1503"/>
      <c r="AO15" s="1365"/>
      <c r="AP15" s="1404"/>
      <c r="AQ15" s="1404"/>
      <c r="AR15" s="1490"/>
      <c r="AS15" s="1492"/>
      <c r="AT15" s="1331"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48"/>
      <c r="AV15" s="1493"/>
      <c r="AW15" s="1516" t="str">
        <f>IF('別紙様式2-2（４・５月分）'!O15="","",'別紙様式2-2（４・５月分）'!O15)</f>
        <v/>
      </c>
      <c r="AX15" s="1507"/>
      <c r="AY15" s="1506"/>
      <c r="AZ15" s="1321"/>
      <c r="BA15" s="1321"/>
      <c r="BB15" s="1321"/>
      <c r="BC15" s="1321"/>
      <c r="BD15" s="1321"/>
      <c r="BE15" s="1321"/>
      <c r="BF15" s="1321"/>
      <c r="BG15" s="1321"/>
      <c r="BH15" s="1321"/>
      <c r="BI15" s="1321"/>
      <c r="BJ15" s="1512"/>
      <c r="BK15" s="1493"/>
      <c r="BL15" s="543" t="str">
        <f>G14</f>
        <v/>
      </c>
    </row>
    <row r="16" spans="1:64" ht="15" customHeight="1">
      <c r="A16" s="1240"/>
      <c r="B16" s="1272"/>
      <c r="C16" s="1261"/>
      <c r="D16" s="1261"/>
      <c r="E16" s="1261"/>
      <c r="F16" s="1262"/>
      <c r="G16" s="1266"/>
      <c r="H16" s="1266"/>
      <c r="I16" s="1266"/>
      <c r="J16" s="1372"/>
      <c r="K16" s="1266"/>
      <c r="L16" s="1451"/>
      <c r="M16" s="1448"/>
      <c r="N16" s="1371"/>
      <c r="O16" s="1429"/>
      <c r="P16" s="1471" t="s">
        <v>2179</v>
      </c>
      <c r="Q16" s="1386" t="str">
        <f>IFERROR(VLOOKUP('別紙様式2-2（４・５月分）'!AR14,【参考】数式用!$AT$5:$AV$22,3,FALSE),"")</f>
        <v/>
      </c>
      <c r="R16" s="1423" t="s">
        <v>2190</v>
      </c>
      <c r="S16" s="1479" t="str">
        <f>IFERROR(VLOOKUP(K14,【参考】数式用!$A$5:$AB$27,MATCH(Q16,【参考】数式用!$B$4:$AB$4,0)+1,0),"")</f>
        <v/>
      </c>
      <c r="T16" s="1459" t="s">
        <v>217</v>
      </c>
      <c r="U16" s="1461"/>
      <c r="V16" s="1500" t="str">
        <f>IFERROR(VLOOKUP(K14,【参考】数式用!$A$5:$AB$27,MATCH(U16,【参考】数式用!$B$4:$AB$4,0)+1,0),"")</f>
        <v/>
      </c>
      <c r="W16" s="1465" t="s">
        <v>19</v>
      </c>
      <c r="X16" s="1405">
        <v>7</v>
      </c>
      <c r="Y16" s="1407" t="s">
        <v>10</v>
      </c>
      <c r="Z16" s="1405">
        <v>4</v>
      </c>
      <c r="AA16" s="1407" t="s">
        <v>45</v>
      </c>
      <c r="AB16" s="1405">
        <v>8</v>
      </c>
      <c r="AC16" s="1407" t="s">
        <v>10</v>
      </c>
      <c r="AD16" s="1405">
        <v>3</v>
      </c>
      <c r="AE16" s="1407" t="s">
        <v>13</v>
      </c>
      <c r="AF16" s="1407" t="s">
        <v>24</v>
      </c>
      <c r="AG16" s="1407">
        <f>IF(X16&gt;=1,(AB16*12+AD16)-(X16*12+Z16)+1,"")</f>
        <v>12</v>
      </c>
      <c r="AH16" s="1409" t="s">
        <v>38</v>
      </c>
      <c r="AI16" s="1411" t="str">
        <f>IFERROR(ROUNDDOWN(ROUND(L14*V16,0)*M14,0)*AG16,"")</f>
        <v/>
      </c>
      <c r="AJ16" s="1469" t="str">
        <f>IFERROR(ROUNDDOWN(ROUND((L14*(V16-AX14)),0)*M14,0)*AG16,"")</f>
        <v/>
      </c>
      <c r="AK16" s="1494">
        <f>IFERROR(IF(OR(N14="",N15="",N17=""),0,ROUNDDOWN(ROUNDDOWN(ROUND(L14*VLOOKUP(K14,【参考】数式用!$A$5:$AB$27,MATCH("新加算Ⅳ",【参考】数式用!$B$4:$AB$4,0)+1,0),0)*M14,0)*AG16*0.5,0)),"")</f>
        <v>0</v>
      </c>
      <c r="AL16" s="1435" t="str">
        <f>IF(U16&lt;&gt;"","新規に適用","")</f>
        <v/>
      </c>
      <c r="AM16" s="1498">
        <f>IFERROR(IF(OR(N17="ベア加算",N17=""),0, IF(OR(U14="新加算Ⅰ",U14="新加算Ⅱ",U14="新加算Ⅲ",U14="新加算Ⅳ"),0,ROUNDDOWN(ROUND(L14*VLOOKUP(K14,【参考】数式用!$A$5:$I$27,MATCH("ベア加算",【参考】数式用!$B$4:$I$4,0)+1,0),0)*M14,0)*AG16)),"")</f>
        <v>0</v>
      </c>
      <c r="AN16" s="1356" t="str">
        <f>IF(AM16=0,"",IF(AND(U16&lt;&gt;"",AN14=""),"新規に適用",IF(AND(U16&lt;&gt;"",AN14&lt;&gt;""),"継続で適用","")))</f>
        <v/>
      </c>
      <c r="AO16" s="1356" t="str">
        <f>IF(AND(U16&lt;&gt;"",AO14=""),"新規に適用",IF(AND(U16&lt;&gt;"",AO14&lt;&gt;""),"継続で適用",""))</f>
        <v/>
      </c>
      <c r="AP16" s="1358"/>
      <c r="AQ16" s="1356" t="str">
        <f>IF(AND(U16&lt;&gt;"",AQ14=""),"新規に適用",IF(AND(U16&lt;&gt;"",AQ14&lt;&gt;""),"継続で適用",""))</f>
        <v/>
      </c>
      <c r="AR16" s="1344" t="str">
        <f>IF(AND(U16&lt;&gt;"",AO14=""),"新規に適用",IF(AND(U16&lt;&gt;"",OR(U14="新加算Ⅰ",U14="新加算Ⅱ",U14="新加算Ⅴ（１）",U14="新加算Ⅴ（２）",U14="新加算Ⅴ（３）",U14="新加算Ⅴ（４）",U14="新加算Ⅴ（５）",U14="新加算Ⅴ（６）",U14="新加算Ⅴ（７）",U14="新加算Ⅴ（９）",U14="新加算Ⅴ（10）",U14="新加算Ⅴ（12）")),"継続で適用",""))</f>
        <v/>
      </c>
      <c r="AS16" s="1346" t="str">
        <f>IF(AND(U16&lt;&gt;"",AS14=""),"新規に適用",IF(AND(U16&lt;&gt;"",AS14&lt;&gt;""),"継続で適用",""))</f>
        <v/>
      </c>
      <c r="AT16" s="1331"/>
      <c r="AU16" s="648"/>
      <c r="AV16" s="1493" t="str">
        <f>IF(K14&lt;&gt;"","V列に色付け","")</f>
        <v/>
      </c>
      <c r="AW16" s="1516"/>
      <c r="AX16" s="1507"/>
      <c r="AY16" s="163"/>
      <c r="AZ16" s="163"/>
      <c r="BA16" s="163"/>
      <c r="BB16" s="163"/>
      <c r="BC16" s="163"/>
      <c r="BD16" s="163"/>
      <c r="BE16" s="163"/>
      <c r="BF16" s="163"/>
      <c r="BG16" s="163"/>
      <c r="BH16" s="163"/>
      <c r="BI16" s="163"/>
      <c r="BJ16" s="163"/>
      <c r="BK16" s="163"/>
      <c r="BL16" s="543" t="str">
        <f>G14</f>
        <v/>
      </c>
    </row>
    <row r="17" spans="1:64" ht="30" customHeight="1" thickBot="1">
      <c r="A17" s="1227"/>
      <c r="B17" s="1376"/>
      <c r="C17" s="1377"/>
      <c r="D17" s="1377"/>
      <c r="E17" s="1377"/>
      <c r="F17" s="1378"/>
      <c r="G17" s="1267"/>
      <c r="H17" s="1267"/>
      <c r="I17" s="1267"/>
      <c r="J17" s="1373"/>
      <c r="K17" s="1267"/>
      <c r="L17" s="1452"/>
      <c r="M17" s="1449"/>
      <c r="N17" s="650" t="str">
        <f>IF('別紙様式2-2（４・５月分）'!Q16="","",'別紙様式2-2（４・５月分）'!Q16)</f>
        <v/>
      </c>
      <c r="O17" s="1430"/>
      <c r="P17" s="1472"/>
      <c r="Q17" s="1387"/>
      <c r="R17" s="1424"/>
      <c r="S17" s="1480"/>
      <c r="T17" s="1460"/>
      <c r="U17" s="1462"/>
      <c r="V17" s="1501"/>
      <c r="W17" s="1466"/>
      <c r="X17" s="1406"/>
      <c r="Y17" s="1408"/>
      <c r="Z17" s="1406"/>
      <c r="AA17" s="1408"/>
      <c r="AB17" s="1406"/>
      <c r="AC17" s="1408"/>
      <c r="AD17" s="1406"/>
      <c r="AE17" s="1408"/>
      <c r="AF17" s="1408"/>
      <c r="AG17" s="1408"/>
      <c r="AH17" s="1410"/>
      <c r="AI17" s="1412"/>
      <c r="AJ17" s="1470"/>
      <c r="AK17" s="1495"/>
      <c r="AL17" s="1436"/>
      <c r="AM17" s="1499"/>
      <c r="AN17" s="1357"/>
      <c r="AO17" s="1357"/>
      <c r="AP17" s="1359"/>
      <c r="AQ17" s="1357"/>
      <c r="AR17" s="1345"/>
      <c r="AS17" s="1347"/>
      <c r="AT17" s="581"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48"/>
      <c r="AV17" s="1493"/>
      <c r="AW17" s="649" t="str">
        <f>IF('別紙様式2-2（４・５月分）'!O16="","",'別紙様式2-2（４・５月分）'!O16)</f>
        <v/>
      </c>
      <c r="AX17" s="1507"/>
      <c r="AY17" s="163"/>
      <c r="AZ17" s="163"/>
      <c r="BA17" s="163"/>
      <c r="BB17" s="163"/>
      <c r="BC17" s="163"/>
      <c r="BD17" s="163"/>
      <c r="BE17" s="163"/>
      <c r="BF17" s="163"/>
      <c r="BG17" s="163"/>
      <c r="BH17" s="163"/>
      <c r="BI17" s="163"/>
      <c r="BJ17" s="163"/>
      <c r="BK17" s="163"/>
      <c r="BL17" s="543" t="str">
        <f>G14</f>
        <v/>
      </c>
    </row>
    <row r="18" spans="1:64" ht="30" customHeight="1">
      <c r="A18" s="1241">
        <v>2</v>
      </c>
      <c r="B18" s="1272" t="str">
        <f>IF(基本情報入力シート!C55="","",基本情報入力シート!C55)</f>
        <v/>
      </c>
      <c r="C18" s="1261"/>
      <c r="D18" s="1261"/>
      <c r="E18" s="1261"/>
      <c r="F18" s="1262"/>
      <c r="G18" s="1266" t="str">
        <f>IF(基本情報入力シート!M55="","",基本情報入力シート!M55)</f>
        <v/>
      </c>
      <c r="H18" s="1266" t="str">
        <f>IF(基本情報入力シート!R55="","",基本情報入力シート!R55)</f>
        <v/>
      </c>
      <c r="I18" s="1266" t="str">
        <f>IF(基本情報入力シート!W55="","",基本情報入力シート!W55)</f>
        <v/>
      </c>
      <c r="J18" s="1372" t="str">
        <f>IF(基本情報入力シート!X55="","",基本情報入力シート!X55)</f>
        <v/>
      </c>
      <c r="K18" s="1266" t="str">
        <f>IF(基本情報入力シート!Y55="","",基本情報入力シート!Y55)</f>
        <v/>
      </c>
      <c r="L18" s="1451" t="str">
        <f>IF(基本情報入力シート!AB55="","",基本情報入力シート!AB55)</f>
        <v/>
      </c>
      <c r="M18" s="1453" t="str">
        <f>IF(基本情報入力シート!AC55="","",基本情報入力シート!AC55)</f>
        <v/>
      </c>
      <c r="N18" s="647" t="str">
        <f>IF('別紙様式2-2（４・５月分）'!Q17="","",'別紙様式2-2（４・５月分）'!Q17)</f>
        <v/>
      </c>
      <c r="O18" s="1366" t="str">
        <f>IF(SUM('別紙様式2-2（４・５月分）'!R17:R19)=0,"",SUM('別紙様式2-2（４・５月分）'!R17:R19))</f>
        <v/>
      </c>
      <c r="P18" s="1380" t="str">
        <f>IFERROR(VLOOKUP('別紙様式2-2（４・５月分）'!AR17,【参考】数式用!$AT$5:$AU$22,2,FALSE),"")</f>
        <v/>
      </c>
      <c r="Q18" s="1381"/>
      <c r="R18" s="1382"/>
      <c r="S18" s="1392" t="str">
        <f>IFERROR(VLOOKUP(K18,【参考】数式用!$A$5:$AB$27,MATCH(P18,【参考】数式用!$B$4:$AB$4,0)+1,0),"")</f>
        <v/>
      </c>
      <c r="T18" s="1413" t="s">
        <v>2173</v>
      </c>
      <c r="U18" s="1415"/>
      <c r="V18" s="1457" t="str">
        <f>IFERROR(VLOOKUP(K18,【参考】数式用!$A$5:$AB$27,MATCH(U18,【参考】数式用!$B$4:$AB$4,0)+1,0),"")</f>
        <v/>
      </c>
      <c r="W18" s="1350" t="s">
        <v>19</v>
      </c>
      <c r="X18" s="1352">
        <v>6</v>
      </c>
      <c r="Y18" s="1354" t="s">
        <v>10</v>
      </c>
      <c r="Z18" s="1352">
        <v>6</v>
      </c>
      <c r="AA18" s="1354" t="s">
        <v>45</v>
      </c>
      <c r="AB18" s="1352">
        <v>7</v>
      </c>
      <c r="AC18" s="1354" t="s">
        <v>10</v>
      </c>
      <c r="AD18" s="1352">
        <v>3</v>
      </c>
      <c r="AE18" s="1354" t="s">
        <v>13</v>
      </c>
      <c r="AF18" s="1354" t="s">
        <v>24</v>
      </c>
      <c r="AG18" s="1354">
        <f>IF(X18&gt;=1,(AB18*12+AD18)-(X18*12+Z18)+1,"")</f>
        <v>10</v>
      </c>
      <c r="AH18" s="1360" t="s">
        <v>38</v>
      </c>
      <c r="AI18" s="1481" t="str">
        <f>IFERROR(ROUNDDOWN(ROUND(L18*V18,0)*M18,0)*AG18,"")</f>
        <v/>
      </c>
      <c r="AJ18" s="1483" t="str">
        <f>IFERROR(ROUNDDOWN(ROUND((L18*(V18-AX18)),0)*M18,0)*AG18,"")</f>
        <v/>
      </c>
      <c r="AK18" s="1485">
        <f>IFERROR(IF(OR(N18="",N19="",N21=""),0,ROUNDDOWN(ROUNDDOWN(ROUND(L18*VLOOKUP(K18,【参考】数式用!$A$5:$AB$27,MATCH("新加算Ⅳ",【参考】数式用!$B$4:$AB$4,0)+1,0),0)*M18,0)*AG18*0.5,0)),"")</f>
        <v>0</v>
      </c>
      <c r="AL18" s="1433"/>
      <c r="AM18" s="1487">
        <f>IFERROR(IF(OR(N21="ベア加算",N21=""),0, IF(OR(U18="新加算Ⅰ",U18="新加算Ⅱ",U18="新加算Ⅲ",U18="新加算Ⅳ"),ROUNDDOWN(ROUND(L18*VLOOKUP(K18,【参考】数式用!$A$5:$I$27,MATCH("ベア加算",【参考】数式用!$B$4:$I$4,0)+1,0),0)*M18,0)*AG18,0)),"")</f>
        <v>0</v>
      </c>
      <c r="AN18" s="1502"/>
      <c r="AO18" s="1364"/>
      <c r="AP18" s="1403"/>
      <c r="AQ18" s="1403"/>
      <c r="AR18" s="1489"/>
      <c r="AS18" s="1491"/>
      <c r="AT18" s="556" t="str">
        <f t="shared" ref="AT18:AT78" si="0">IF(AV18="","",IF(V18&lt;O18,"！加算の要件上は問題ありませんが、令和６年４・５月と比較して令和６年６月に加算率が下がる計画になっています。",""))</f>
        <v/>
      </c>
      <c r="AU18" s="651"/>
      <c r="AV18" s="1493" t="str">
        <f>IF(K18&lt;&gt;"","V列に色付け","")</f>
        <v/>
      </c>
      <c r="AW18" s="649" t="str">
        <f>IF('別紙様式2-2（４・５月分）'!O17="","",'別紙様式2-2（４・５月分）'!O17)</f>
        <v/>
      </c>
      <c r="AX18" s="1507" t="str">
        <f>IF(SUM('別紙様式2-2（４・５月分）'!P17:P19)=0,"",SUM('別紙様式2-2（４・５月分）'!P17:P19))</f>
        <v/>
      </c>
      <c r="AY18" s="1506" t="str">
        <f>IFERROR(VLOOKUP(K18,【参考】数式用!$AJ$2:$AK$24,2,FALSE),"")</f>
        <v/>
      </c>
      <c r="AZ18" s="1321" t="s">
        <v>2098</v>
      </c>
      <c r="BA18" s="1321" t="s">
        <v>2099</v>
      </c>
      <c r="BB18" s="1321" t="s">
        <v>2100</v>
      </c>
      <c r="BC18" s="1321" t="s">
        <v>2101</v>
      </c>
      <c r="BD18" s="1321" t="str">
        <f>IF(AND(P18&lt;&gt;"新加算Ⅰ",P18&lt;&gt;"新加算Ⅱ",P18&lt;&gt;"新加算Ⅲ",P18&lt;&gt;"新加算Ⅳ"),P18,IF(Q20&lt;&gt;"",Q20,""))</f>
        <v/>
      </c>
      <c r="BE18" s="1321"/>
      <c r="BF18" s="1321" t="str">
        <f t="shared" ref="BF18" si="1">IF(AM18&lt;&gt;0,IF(AN18="○","入力済","未入力"),"")</f>
        <v/>
      </c>
      <c r="BG18" s="1321"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
      </c>
      <c r="BH18" s="1321" t="str">
        <f>IF(OR(U18="新加算Ⅴ（７）",U18="新加算Ⅴ（９）",U18="新加算Ⅴ（10）",U18="新加算Ⅴ（12）",U18="新加算Ⅴ（13）",U18="新加算Ⅴ（14）"),IF(OR(AP18="○",AP18="令和６年度中に満たす"),"入力済","未入力"),"")</f>
        <v/>
      </c>
      <c r="BI18" s="1321" t="str">
        <f>IF(OR(U18="新加算Ⅰ",U18="新加算Ⅱ",U18="新加算Ⅲ",U18="新加算Ⅴ（１）",U18="新加算Ⅴ（３）",U18="新加算Ⅴ（８）"),IF(OR(AQ18="○",AQ18="令和６年度中に満たす"),"入力済","未入力"),"")</f>
        <v/>
      </c>
      <c r="BJ18" s="1512"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493" t="str">
        <f>IF(OR(U18="新加算Ⅰ",U18="新加算Ⅴ（１）",U18="新加算Ⅴ（２）",U18="新加算Ⅴ（５）",U18="新加算Ⅴ（７）",U18="新加算Ⅴ（10）"),IF(AS18="","未入力","入力済"),"")</f>
        <v/>
      </c>
      <c r="BL18" s="543" t="str">
        <f>G18</f>
        <v/>
      </c>
    </row>
    <row r="19" spans="1:64" ht="15" customHeight="1">
      <c r="A19" s="1226"/>
      <c r="B19" s="1272"/>
      <c r="C19" s="1261"/>
      <c r="D19" s="1261"/>
      <c r="E19" s="1261"/>
      <c r="F19" s="1262"/>
      <c r="G19" s="1266"/>
      <c r="H19" s="1266"/>
      <c r="I19" s="1266"/>
      <c r="J19" s="1372"/>
      <c r="K19" s="1266"/>
      <c r="L19" s="1451"/>
      <c r="M19" s="1453"/>
      <c r="N19" s="1370" t="str">
        <f>IF('別紙様式2-2（４・５月分）'!Q18="","",'別紙様式2-2（４・５月分）'!Q18)</f>
        <v/>
      </c>
      <c r="O19" s="1367"/>
      <c r="P19" s="1383"/>
      <c r="Q19" s="1384"/>
      <c r="R19" s="1385"/>
      <c r="S19" s="1393"/>
      <c r="T19" s="1414"/>
      <c r="U19" s="1416"/>
      <c r="V19" s="1458"/>
      <c r="W19" s="1351"/>
      <c r="X19" s="1353"/>
      <c r="Y19" s="1355"/>
      <c r="Z19" s="1353"/>
      <c r="AA19" s="1355"/>
      <c r="AB19" s="1353"/>
      <c r="AC19" s="1355"/>
      <c r="AD19" s="1353"/>
      <c r="AE19" s="1355"/>
      <c r="AF19" s="1355"/>
      <c r="AG19" s="1355"/>
      <c r="AH19" s="1361"/>
      <c r="AI19" s="1482"/>
      <c r="AJ19" s="1484"/>
      <c r="AK19" s="1486"/>
      <c r="AL19" s="1434"/>
      <c r="AM19" s="1488"/>
      <c r="AN19" s="1503"/>
      <c r="AO19" s="1365"/>
      <c r="AP19" s="1404"/>
      <c r="AQ19" s="1404"/>
      <c r="AR19" s="1490"/>
      <c r="AS19" s="1492"/>
      <c r="AT19" s="1331"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51"/>
      <c r="AV19" s="1493"/>
      <c r="AW19" s="1516" t="str">
        <f>IF('別紙様式2-2（４・５月分）'!O18="","",'別紙様式2-2（４・５月分）'!O18)</f>
        <v/>
      </c>
      <c r="AX19" s="1507"/>
      <c r="AY19" s="1506"/>
      <c r="AZ19" s="1321"/>
      <c r="BA19" s="1321"/>
      <c r="BB19" s="1321"/>
      <c r="BC19" s="1321"/>
      <c r="BD19" s="1321"/>
      <c r="BE19" s="1321"/>
      <c r="BF19" s="1321"/>
      <c r="BG19" s="1321"/>
      <c r="BH19" s="1321"/>
      <c r="BI19" s="1321"/>
      <c r="BJ19" s="1512"/>
      <c r="BK19" s="1493"/>
      <c r="BL19" s="543" t="str">
        <f>G18</f>
        <v/>
      </c>
    </row>
    <row r="20" spans="1:64" ht="15" customHeight="1">
      <c r="A20" s="1240"/>
      <c r="B20" s="1272"/>
      <c r="C20" s="1261"/>
      <c r="D20" s="1261"/>
      <c r="E20" s="1261"/>
      <c r="F20" s="1262"/>
      <c r="G20" s="1266"/>
      <c r="H20" s="1266"/>
      <c r="I20" s="1266"/>
      <c r="J20" s="1372"/>
      <c r="K20" s="1266"/>
      <c r="L20" s="1451"/>
      <c r="M20" s="1453"/>
      <c r="N20" s="1371"/>
      <c r="O20" s="1368"/>
      <c r="P20" s="1471" t="s">
        <v>2179</v>
      </c>
      <c r="Q20" s="1386" t="str">
        <f>IFERROR(VLOOKUP('別紙様式2-2（４・５月分）'!AR17,【参考】数式用!$AT$5:$AV$22,3,FALSE),"")</f>
        <v/>
      </c>
      <c r="R20" s="1423" t="s">
        <v>2190</v>
      </c>
      <c r="S20" s="1394" t="str">
        <f>IFERROR(VLOOKUP(K18,【参考】数式用!$A$5:$AB$27,MATCH(Q20,【参考】数式用!$B$4:$AB$4,0)+1,0),"")</f>
        <v/>
      </c>
      <c r="T20" s="1459" t="s">
        <v>217</v>
      </c>
      <c r="U20" s="1461"/>
      <c r="V20" s="1463" t="str">
        <f>IFERROR(VLOOKUP(K18,【参考】数式用!$A$5:$AB$27,MATCH(U20,【参考】数式用!$B$4:$AB$4,0)+1,0),"")</f>
        <v/>
      </c>
      <c r="W20" s="1465" t="s">
        <v>19</v>
      </c>
      <c r="X20" s="1405">
        <v>7</v>
      </c>
      <c r="Y20" s="1407" t="s">
        <v>10</v>
      </c>
      <c r="Z20" s="1405">
        <v>4</v>
      </c>
      <c r="AA20" s="1407" t="s">
        <v>45</v>
      </c>
      <c r="AB20" s="1405">
        <v>8</v>
      </c>
      <c r="AC20" s="1407" t="s">
        <v>10</v>
      </c>
      <c r="AD20" s="1405">
        <v>3</v>
      </c>
      <c r="AE20" s="1407" t="s">
        <v>13</v>
      </c>
      <c r="AF20" s="1407" t="s">
        <v>24</v>
      </c>
      <c r="AG20" s="1407">
        <f>IF(X20&gt;=1,(AB20*12+AD20)-(X20*12+Z20)+1,"")</f>
        <v>12</v>
      </c>
      <c r="AH20" s="1409" t="s">
        <v>38</v>
      </c>
      <c r="AI20" s="1496" t="str">
        <f>IFERROR(ROUNDDOWN(ROUND(L18*V20,0)*M18,0)*AG20,"")</f>
        <v/>
      </c>
      <c r="AJ20" s="1469" t="str">
        <f>IFERROR(ROUNDDOWN(ROUND((L18*(V20-AX18)),0)*M18,0)*AG20,"")</f>
        <v/>
      </c>
      <c r="AK20" s="1494">
        <f>IFERROR(IF(OR(N18="",N19="",N21=""),0,ROUNDDOWN(ROUNDDOWN(ROUND(L18*VLOOKUP(K18,【参考】数式用!$A$5:$AB$27,MATCH("新加算Ⅳ",【参考】数式用!$B$4:$AB$4,0)+1,0),0)*M18,0)*AG20*0.5,0)),"")</f>
        <v>0</v>
      </c>
      <c r="AL20" s="1435" t="str">
        <f>IF(U20&lt;&gt;"","新規に適用","")</f>
        <v/>
      </c>
      <c r="AM20" s="1498">
        <f>IFERROR(IF(OR(N21="ベア加算",N21=""),0, IF(OR(U18="新加算Ⅰ",U18="新加算Ⅱ",U18="新加算Ⅲ",U18="新加算Ⅳ"),0,ROUNDDOWN(ROUND(L18*VLOOKUP(K18,【参考】数式用!$A$5:$I$27,MATCH("ベア加算",【参考】数式用!$B$4:$I$4,0)+1,0),0)*M18,0)*AG20)),"")</f>
        <v>0</v>
      </c>
      <c r="AN20" s="1356" t="str">
        <f t="shared" ref="AN20" si="3">IF(AM20=0,"",IF(AND(U20&lt;&gt;"",AN18=""),"新規に適用",IF(AND(U20&lt;&gt;"",AN18&lt;&gt;""),"継続で適用","")))</f>
        <v/>
      </c>
      <c r="AO20" s="1356" t="str">
        <f>IF(AND(U20&lt;&gt;"",AO18=""),"新規に適用",IF(AND(U20&lt;&gt;"",AO18&lt;&gt;""),"継続で適用",""))</f>
        <v/>
      </c>
      <c r="AP20" s="1358"/>
      <c r="AQ20" s="1356" t="str">
        <f>IF(AND(U20&lt;&gt;"",AQ18=""),"新規に適用",IF(AND(U20&lt;&gt;"",AQ18&lt;&gt;""),"継続で適用",""))</f>
        <v/>
      </c>
      <c r="AR20" s="1344" t="str">
        <f t="shared" ref="AR20" si="4">IF(AND(U20&lt;&gt;"",AO18=""),"新規に適用",IF(AND(U20&lt;&gt;"",OR(U18="新加算Ⅰ",U18="新加算Ⅱ",U18="新加算Ⅴ（１）",U18="新加算Ⅴ（２）",U18="新加算Ⅴ（３）",U18="新加算Ⅴ（４）",U18="新加算Ⅴ（５）",U18="新加算Ⅴ（６）",U18="新加算Ⅴ（７）",U18="新加算Ⅴ（９）",U18="新加算Ⅴ（10）",U18="新加算Ⅴ（12）")),"継続で適用",""))</f>
        <v/>
      </c>
      <c r="AS20" s="1356" t="str">
        <f>IF(AND(U20&lt;&gt;"",AS18=""),"新規に適用",IF(AND(U20&lt;&gt;"",AS18&lt;&gt;""),"継続で適用",""))</f>
        <v/>
      </c>
      <c r="AT20" s="1331"/>
      <c r="AU20" s="651"/>
      <c r="AV20" s="1493" t="str">
        <f>IF(K18&lt;&gt;"","V列に色付け","")</f>
        <v/>
      </c>
      <c r="AW20" s="1516"/>
      <c r="AX20" s="1507"/>
      <c r="AY20" s="163"/>
      <c r="AZ20" s="163"/>
      <c r="BA20" s="163"/>
      <c r="BB20" s="163"/>
      <c r="BC20" s="163"/>
      <c r="BD20" s="163"/>
      <c r="BE20" s="163"/>
      <c r="BF20" s="163"/>
      <c r="BG20" s="163"/>
      <c r="BH20" s="163"/>
      <c r="BI20" s="163"/>
      <c r="BJ20" s="163"/>
      <c r="BK20" s="163"/>
      <c r="BL20" s="543" t="str">
        <f>G18</f>
        <v/>
      </c>
    </row>
    <row r="21" spans="1:64" ht="30" customHeight="1" thickBot="1">
      <c r="A21" s="1227"/>
      <c r="B21" s="1376"/>
      <c r="C21" s="1377"/>
      <c r="D21" s="1377"/>
      <c r="E21" s="1377"/>
      <c r="F21" s="1378"/>
      <c r="G21" s="1267"/>
      <c r="H21" s="1267"/>
      <c r="I21" s="1267"/>
      <c r="J21" s="1373"/>
      <c r="K21" s="1267"/>
      <c r="L21" s="1452"/>
      <c r="M21" s="1454"/>
      <c r="N21" s="650" t="str">
        <f>IF('別紙様式2-2（４・５月分）'!Q19="","",'別紙様式2-2（４・５月分）'!Q19)</f>
        <v/>
      </c>
      <c r="O21" s="1369"/>
      <c r="P21" s="1472"/>
      <c r="Q21" s="1387"/>
      <c r="R21" s="1424"/>
      <c r="S21" s="1395"/>
      <c r="T21" s="1460"/>
      <c r="U21" s="1462"/>
      <c r="V21" s="1464"/>
      <c r="W21" s="1466"/>
      <c r="X21" s="1406"/>
      <c r="Y21" s="1408"/>
      <c r="Z21" s="1406"/>
      <c r="AA21" s="1408"/>
      <c r="AB21" s="1406"/>
      <c r="AC21" s="1408"/>
      <c r="AD21" s="1406"/>
      <c r="AE21" s="1408"/>
      <c r="AF21" s="1408"/>
      <c r="AG21" s="1408"/>
      <c r="AH21" s="1410"/>
      <c r="AI21" s="1497"/>
      <c r="AJ21" s="1470"/>
      <c r="AK21" s="1495"/>
      <c r="AL21" s="1436"/>
      <c r="AM21" s="1499"/>
      <c r="AN21" s="1357"/>
      <c r="AO21" s="1357"/>
      <c r="AP21" s="1359"/>
      <c r="AQ21" s="1357"/>
      <c r="AR21" s="1345"/>
      <c r="AS21" s="1357"/>
      <c r="AT21" s="581"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51"/>
      <c r="AV21" s="1493"/>
      <c r="AW21" s="649" t="str">
        <f>IF('別紙様式2-2（４・５月分）'!O19="","",'別紙様式2-2（４・５月分）'!O19)</f>
        <v/>
      </c>
      <c r="AX21" s="1507"/>
      <c r="AY21" s="163"/>
      <c r="AZ21" s="163"/>
      <c r="BA21" s="163"/>
      <c r="BB21" s="163"/>
      <c r="BC21" s="163"/>
      <c r="BD21" s="163"/>
      <c r="BE21" s="163"/>
      <c r="BF21" s="163"/>
      <c r="BG21" s="163"/>
      <c r="BH21" s="163"/>
      <c r="BI21" s="163"/>
      <c r="BJ21" s="163"/>
      <c r="BK21" s="163"/>
      <c r="BL21" s="543" t="str">
        <f>G18</f>
        <v/>
      </c>
    </row>
    <row r="22" spans="1:64" ht="30" customHeight="1">
      <c r="A22" s="1225">
        <v>3</v>
      </c>
      <c r="B22" s="1271" t="str">
        <f>IF(基本情報入力シート!C56="","",基本情報入力シート!C56)</f>
        <v/>
      </c>
      <c r="C22" s="1259"/>
      <c r="D22" s="1259"/>
      <c r="E22" s="1259"/>
      <c r="F22" s="1260"/>
      <c r="G22" s="1265" t="str">
        <f>IF(基本情報入力シート!M56="","",基本情報入力シート!M56)</f>
        <v/>
      </c>
      <c r="H22" s="1265" t="str">
        <f>IF(基本情報入力シート!R56="","",基本情報入力シート!R56)</f>
        <v/>
      </c>
      <c r="I22" s="1265" t="str">
        <f>IF(基本情報入力シート!W56="","",基本情報入力シート!W56)</f>
        <v/>
      </c>
      <c r="J22" s="1379" t="str">
        <f>IF(基本情報入力シート!X56="","",基本情報入力シート!X56)</f>
        <v/>
      </c>
      <c r="K22" s="1265" t="str">
        <f>IF(基本情報入力シート!Y56="","",基本情報入力シート!Y56)</f>
        <v/>
      </c>
      <c r="L22" s="1450" t="str">
        <f>IF(基本情報入力シート!AB56="","",基本情報入力シート!AB56)</f>
        <v/>
      </c>
      <c r="M22" s="1447" t="str">
        <f>IF(基本情報入力シート!AC56="","",基本情報入力シート!AC56)</f>
        <v/>
      </c>
      <c r="N22" s="647" t="str">
        <f>IF('別紙様式2-2（４・５月分）'!Q20="","",'別紙様式2-2（４・５月分）'!Q20)</f>
        <v/>
      </c>
      <c r="O22" s="1366" t="str">
        <f>IF(SUM('別紙様式2-2（４・５月分）'!R20:R22)=0,"",SUM('別紙様式2-2（４・５月分）'!R20:R22))</f>
        <v/>
      </c>
      <c r="P22" s="1380" t="str">
        <f>IFERROR(VLOOKUP('別紙様式2-2（４・５月分）'!AR20,【参考】数式用!$AT$5:$AU$22,2,FALSE),"")</f>
        <v/>
      </c>
      <c r="Q22" s="1381"/>
      <c r="R22" s="1382"/>
      <c r="S22" s="1392" t="str">
        <f>IFERROR(VLOOKUP(K22,【参考】数式用!$A$5:$AB$27,MATCH(P22,【参考】数式用!$B$4:$AB$4,0)+1,0),"")</f>
        <v/>
      </c>
      <c r="T22" s="1413" t="s">
        <v>2173</v>
      </c>
      <c r="U22" s="1455"/>
      <c r="V22" s="1457" t="str">
        <f>IFERROR(VLOOKUP(K22,【参考】数式用!$A$5:$AB$27,MATCH(U22,【参考】数式用!$B$4:$AB$4,0)+1,0),"")</f>
        <v/>
      </c>
      <c r="W22" s="1350" t="s">
        <v>19</v>
      </c>
      <c r="X22" s="1352">
        <v>6</v>
      </c>
      <c r="Y22" s="1354" t="s">
        <v>10</v>
      </c>
      <c r="Z22" s="1352">
        <v>6</v>
      </c>
      <c r="AA22" s="1354" t="s">
        <v>45</v>
      </c>
      <c r="AB22" s="1352">
        <v>7</v>
      </c>
      <c r="AC22" s="1354" t="s">
        <v>10</v>
      </c>
      <c r="AD22" s="1352">
        <v>3</v>
      </c>
      <c r="AE22" s="1354" t="s">
        <v>13</v>
      </c>
      <c r="AF22" s="1354" t="s">
        <v>24</v>
      </c>
      <c r="AG22" s="1354">
        <f>IF(X22&gt;=1,(AB22*12+AD22)-(X22*12+Z22)+1,"")</f>
        <v>10</v>
      </c>
      <c r="AH22" s="1360" t="s">
        <v>38</v>
      </c>
      <c r="AI22" s="1481" t="str">
        <f>IFERROR(ROUNDDOWN(ROUND(L22*V22,0)*M22,0)*AG22,"")</f>
        <v/>
      </c>
      <c r="AJ22" s="1483" t="str">
        <f>IFERROR(ROUNDDOWN(ROUND((L22*(V22-AX22)),0)*M22,0)*AG22,"")</f>
        <v/>
      </c>
      <c r="AK22" s="1485">
        <f>IFERROR(IF(OR(N22="",N23="",N25=""),0,ROUNDDOWN(ROUNDDOWN(ROUND(L22*VLOOKUP(K22,【参考】数式用!$A$5:$AB$27,MATCH("新加算Ⅳ",【参考】数式用!$B$4:$AB$4,0)+1,0),0)*M22,0)*AG22*0.5,0)),"")</f>
        <v>0</v>
      </c>
      <c r="AL22" s="1433"/>
      <c r="AM22" s="1487">
        <f>IFERROR(IF(OR(N25="ベア加算",N25=""),0, IF(OR(U22="新加算Ⅰ",U22="新加算Ⅱ",U22="新加算Ⅲ",U22="新加算Ⅳ"),ROUNDDOWN(ROUND(L22*VLOOKUP(K22,【参考】数式用!$A$5:$I$27,MATCH("ベア加算",【参考】数式用!$B$4:$I$4,0)+1,0),0)*M22,0)*AG22,0)),"")</f>
        <v>0</v>
      </c>
      <c r="AN22" s="1502"/>
      <c r="AO22" s="1364"/>
      <c r="AP22" s="1403"/>
      <c r="AQ22" s="1403"/>
      <c r="AR22" s="1489"/>
      <c r="AS22" s="1491"/>
      <c r="AT22" s="556" t="str">
        <f t="shared" si="0"/>
        <v/>
      </c>
      <c r="AU22" s="651"/>
      <c r="AV22" s="1493" t="str">
        <f>IF(K22&lt;&gt;"","V列に色付け","")</f>
        <v/>
      </c>
      <c r="AW22" s="649" t="str">
        <f>IF('別紙様式2-2（４・５月分）'!O20="","",'別紙様式2-2（４・５月分）'!O20)</f>
        <v/>
      </c>
      <c r="AX22" s="1507" t="str">
        <f>IF(SUM('別紙様式2-2（４・５月分）'!P20:P22)=0,"",SUM('別紙様式2-2（４・５月分）'!P20:P22))</f>
        <v/>
      </c>
      <c r="AY22" s="1506" t="str">
        <f>IFERROR(VLOOKUP(K22,【参考】数式用!$AJ$2:$AK$24,2,FALSE),"")</f>
        <v/>
      </c>
      <c r="AZ22" s="1321" t="s">
        <v>2098</v>
      </c>
      <c r="BA22" s="1321" t="s">
        <v>2099</v>
      </c>
      <c r="BB22" s="1321" t="s">
        <v>2100</v>
      </c>
      <c r="BC22" s="1321" t="s">
        <v>2101</v>
      </c>
      <c r="BD22" s="1321" t="str">
        <f>IF(AND(P22&lt;&gt;"新加算Ⅰ",P22&lt;&gt;"新加算Ⅱ",P22&lt;&gt;"新加算Ⅲ",P22&lt;&gt;"新加算Ⅳ"),P22,IF(Q24&lt;&gt;"",Q24,""))</f>
        <v/>
      </c>
      <c r="BE22" s="1321"/>
      <c r="BF22" s="1321" t="str">
        <f t="shared" ref="BF22" si="5">IF(AM22&lt;&gt;0,IF(AN22="○","入力済","未入力"),"")</f>
        <v/>
      </c>
      <c r="BG22" s="1321"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
      </c>
      <c r="BH22" s="1321" t="str">
        <f>IF(OR(U22="新加算Ⅴ（７）",U22="新加算Ⅴ（９）",U22="新加算Ⅴ（10）",U22="新加算Ⅴ（12）",U22="新加算Ⅴ（13）",U22="新加算Ⅴ（14）"),IF(OR(AP22="○",AP22="令和６年度中に満たす"),"入力済","未入力"),"")</f>
        <v/>
      </c>
      <c r="BI22" s="1321" t="str">
        <f>IF(OR(U22="新加算Ⅰ",U22="新加算Ⅱ",U22="新加算Ⅲ",U22="新加算Ⅴ（１）",U22="新加算Ⅴ（３）",U22="新加算Ⅴ（８）"),IF(OR(AQ22="○",AQ22="令和６年度中に満たす"),"入力済","未入力"),"")</f>
        <v/>
      </c>
      <c r="BJ22" s="1512"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493" t="str">
        <f>IF(OR(U22="新加算Ⅰ",U22="新加算Ⅴ（１）",U22="新加算Ⅴ（２）",U22="新加算Ⅴ（５）",U22="新加算Ⅴ（７）",U22="新加算Ⅴ（10）"),IF(AS22="","未入力","入力済"),"")</f>
        <v/>
      </c>
      <c r="BL22" s="543" t="str">
        <f>G22</f>
        <v/>
      </c>
    </row>
    <row r="23" spans="1:64" ht="15" customHeight="1">
      <c r="A23" s="1226"/>
      <c r="B23" s="1272"/>
      <c r="C23" s="1261"/>
      <c r="D23" s="1261"/>
      <c r="E23" s="1261"/>
      <c r="F23" s="1262"/>
      <c r="G23" s="1266"/>
      <c r="H23" s="1266"/>
      <c r="I23" s="1266"/>
      <c r="J23" s="1372"/>
      <c r="K23" s="1266"/>
      <c r="L23" s="1451"/>
      <c r="M23" s="1448"/>
      <c r="N23" s="1370" t="str">
        <f>IF('別紙様式2-2（４・５月分）'!Q21="","",'別紙様式2-2（４・５月分）'!Q21)</f>
        <v/>
      </c>
      <c r="O23" s="1367"/>
      <c r="P23" s="1383"/>
      <c r="Q23" s="1384"/>
      <c r="R23" s="1385"/>
      <c r="S23" s="1393"/>
      <c r="T23" s="1414"/>
      <c r="U23" s="1456"/>
      <c r="V23" s="1458"/>
      <c r="W23" s="1351"/>
      <c r="X23" s="1353"/>
      <c r="Y23" s="1355"/>
      <c r="Z23" s="1353"/>
      <c r="AA23" s="1355"/>
      <c r="AB23" s="1353"/>
      <c r="AC23" s="1355"/>
      <c r="AD23" s="1353"/>
      <c r="AE23" s="1355"/>
      <c r="AF23" s="1355"/>
      <c r="AG23" s="1355"/>
      <c r="AH23" s="1361"/>
      <c r="AI23" s="1482"/>
      <c r="AJ23" s="1484"/>
      <c r="AK23" s="1486"/>
      <c r="AL23" s="1434"/>
      <c r="AM23" s="1488"/>
      <c r="AN23" s="1503"/>
      <c r="AO23" s="1365"/>
      <c r="AP23" s="1404"/>
      <c r="AQ23" s="1404"/>
      <c r="AR23" s="1490"/>
      <c r="AS23" s="1492"/>
      <c r="AT23" s="1331" t="str">
        <f t="shared" si="2"/>
        <v/>
      </c>
      <c r="AU23" s="651"/>
      <c r="AV23" s="1493"/>
      <c r="AW23" s="1516" t="str">
        <f>IF('別紙様式2-2（４・５月分）'!O21="","",'別紙様式2-2（４・５月分）'!O21)</f>
        <v/>
      </c>
      <c r="AX23" s="1507"/>
      <c r="AY23" s="1506"/>
      <c r="AZ23" s="1321"/>
      <c r="BA23" s="1321"/>
      <c r="BB23" s="1321"/>
      <c r="BC23" s="1321"/>
      <c r="BD23" s="1321"/>
      <c r="BE23" s="1321"/>
      <c r="BF23" s="1321"/>
      <c r="BG23" s="1321"/>
      <c r="BH23" s="1321"/>
      <c r="BI23" s="1321"/>
      <c r="BJ23" s="1512"/>
      <c r="BK23" s="1493"/>
      <c r="BL23" s="543" t="str">
        <f>G22</f>
        <v/>
      </c>
    </row>
    <row r="24" spans="1:64" ht="15" customHeight="1">
      <c r="A24" s="1240"/>
      <c r="B24" s="1272"/>
      <c r="C24" s="1261"/>
      <c r="D24" s="1261"/>
      <c r="E24" s="1261"/>
      <c r="F24" s="1262"/>
      <c r="G24" s="1266"/>
      <c r="H24" s="1266"/>
      <c r="I24" s="1266"/>
      <c r="J24" s="1372"/>
      <c r="K24" s="1266"/>
      <c r="L24" s="1451"/>
      <c r="M24" s="1448"/>
      <c r="N24" s="1371"/>
      <c r="O24" s="1368"/>
      <c r="P24" s="1390" t="s">
        <v>2179</v>
      </c>
      <c r="Q24" s="1386" t="str">
        <f>IFERROR(VLOOKUP('別紙様式2-2（４・５月分）'!AR20,【参考】数式用!$AT$5:$AV$22,3,FALSE),"")</f>
        <v/>
      </c>
      <c r="R24" s="1388" t="s">
        <v>2190</v>
      </c>
      <c r="S24" s="1396" t="str">
        <f>IFERROR(VLOOKUP(K22,【参考】数式用!$A$5:$AB$27,MATCH(Q24,【参考】数式用!$B$4:$AB$4,0)+1,0),"")</f>
        <v/>
      </c>
      <c r="T24" s="1459" t="s">
        <v>217</v>
      </c>
      <c r="U24" s="1461"/>
      <c r="V24" s="1463" t="str">
        <f>IFERROR(VLOOKUP(K22,【参考】数式用!$A$5:$AB$27,MATCH(U24,【参考】数式用!$B$4:$AB$4,0)+1,0),"")</f>
        <v/>
      </c>
      <c r="W24" s="1465" t="s">
        <v>19</v>
      </c>
      <c r="X24" s="1405">
        <v>7</v>
      </c>
      <c r="Y24" s="1407" t="s">
        <v>10</v>
      </c>
      <c r="Z24" s="1405">
        <v>4</v>
      </c>
      <c r="AA24" s="1407" t="s">
        <v>45</v>
      </c>
      <c r="AB24" s="1405">
        <v>8</v>
      </c>
      <c r="AC24" s="1407" t="s">
        <v>10</v>
      </c>
      <c r="AD24" s="1405">
        <v>3</v>
      </c>
      <c r="AE24" s="1407" t="s">
        <v>13</v>
      </c>
      <c r="AF24" s="1407" t="s">
        <v>24</v>
      </c>
      <c r="AG24" s="1407">
        <f>IF(X24&gt;=1,(AB24*12+AD24)-(X24*12+Z24)+1,"")</f>
        <v>12</v>
      </c>
      <c r="AH24" s="1409" t="s">
        <v>38</v>
      </c>
      <c r="AI24" s="1496" t="str">
        <f>IFERROR(ROUNDDOWN(ROUND(L22*V24,0)*M22,0)*AG24,"")</f>
        <v/>
      </c>
      <c r="AJ24" s="1469" t="str">
        <f>IFERROR(ROUNDDOWN(ROUND((L22*(V24-AX22)),0)*M22,0)*AG24,"")</f>
        <v/>
      </c>
      <c r="AK24" s="1494">
        <f>IFERROR(IF(OR(N22="",N23="",N25=""),0,ROUNDDOWN(ROUNDDOWN(ROUND(L22*VLOOKUP(K22,【参考】数式用!$A$5:$AB$27,MATCH("新加算Ⅳ",【参考】数式用!$B$4:$AB$4,0)+1,0),0)*M22,0)*AG24*0.5,0)),"")</f>
        <v>0</v>
      </c>
      <c r="AL24" s="1435" t="str">
        <f>IF(U24&lt;&gt;"","新規に適用","")</f>
        <v/>
      </c>
      <c r="AM24" s="1498">
        <f>IFERROR(IF(OR(N25="ベア加算",N25=""),0, IF(OR(U22="新加算Ⅰ",U22="新加算Ⅱ",U22="新加算Ⅲ",U22="新加算Ⅳ"),0,ROUNDDOWN(ROUND(L22*VLOOKUP(K22,【参考】数式用!$A$5:$I$27,MATCH("ベア加算",【参考】数式用!$B$4:$I$4,0)+1,0),0)*M22,0)*AG24)),"")</f>
        <v>0</v>
      </c>
      <c r="AN24" s="1356" t="str">
        <f t="shared" ref="AN24" si="6">IF(AM24=0,"",IF(AND(U24&lt;&gt;"",AN22=""),"新規に適用",IF(AND(U24&lt;&gt;"",AN22&lt;&gt;""),"継続で適用","")))</f>
        <v/>
      </c>
      <c r="AO24" s="1356" t="str">
        <f>IF(AND(U24&lt;&gt;"",AO22=""),"新規に適用",IF(AND(U24&lt;&gt;"",AO22&lt;&gt;""),"継続で適用",""))</f>
        <v/>
      </c>
      <c r="AP24" s="1358"/>
      <c r="AQ24" s="1356" t="str">
        <f>IF(AND(U24&lt;&gt;"",AQ22=""),"新規に適用",IF(AND(U24&lt;&gt;"",AQ22&lt;&gt;""),"継続で適用",""))</f>
        <v/>
      </c>
      <c r="AR24" s="1344" t="str">
        <f t="shared" ref="AR24" si="7">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56" t="str">
        <f>IF(AND(U24&lt;&gt;"",AS22=""),"新規に適用",IF(AND(U24&lt;&gt;"",AS22&lt;&gt;""),"継続で適用",""))</f>
        <v/>
      </c>
      <c r="AT24" s="1331"/>
      <c r="AU24" s="651"/>
      <c r="AV24" s="1493" t="str">
        <f>IF(K22&lt;&gt;"","V列に色付け","")</f>
        <v/>
      </c>
      <c r="AW24" s="1516"/>
      <c r="AX24" s="1507"/>
      <c r="AY24" s="163"/>
      <c r="AZ24" s="163"/>
      <c r="BA24" s="163"/>
      <c r="BB24" s="163"/>
      <c r="BC24" s="163"/>
      <c r="BD24" s="163"/>
      <c r="BE24" s="163"/>
      <c r="BF24" s="163"/>
      <c r="BG24" s="163"/>
      <c r="BH24" s="163"/>
      <c r="BI24" s="163"/>
      <c r="BJ24" s="163"/>
      <c r="BK24" s="163"/>
      <c r="BL24" s="543" t="str">
        <f>G22</f>
        <v/>
      </c>
    </row>
    <row r="25" spans="1:64" ht="30" customHeight="1" thickBot="1">
      <c r="A25" s="1227"/>
      <c r="B25" s="1376"/>
      <c r="C25" s="1377"/>
      <c r="D25" s="1377"/>
      <c r="E25" s="1377"/>
      <c r="F25" s="1378"/>
      <c r="G25" s="1267"/>
      <c r="H25" s="1267"/>
      <c r="I25" s="1267"/>
      <c r="J25" s="1373"/>
      <c r="K25" s="1267"/>
      <c r="L25" s="1452"/>
      <c r="M25" s="1449"/>
      <c r="N25" s="650" t="str">
        <f>IF('別紙様式2-2（４・５月分）'!Q22="","",'別紙様式2-2（４・５月分）'!Q22)</f>
        <v/>
      </c>
      <c r="O25" s="1369"/>
      <c r="P25" s="1391"/>
      <c r="Q25" s="1387"/>
      <c r="R25" s="1389"/>
      <c r="S25" s="1395"/>
      <c r="T25" s="1460"/>
      <c r="U25" s="1462"/>
      <c r="V25" s="1464"/>
      <c r="W25" s="1466"/>
      <c r="X25" s="1406"/>
      <c r="Y25" s="1408"/>
      <c r="Z25" s="1406"/>
      <c r="AA25" s="1408"/>
      <c r="AB25" s="1406"/>
      <c r="AC25" s="1408"/>
      <c r="AD25" s="1406"/>
      <c r="AE25" s="1408"/>
      <c r="AF25" s="1408"/>
      <c r="AG25" s="1408"/>
      <c r="AH25" s="1410"/>
      <c r="AI25" s="1497"/>
      <c r="AJ25" s="1470"/>
      <c r="AK25" s="1495"/>
      <c r="AL25" s="1436"/>
      <c r="AM25" s="1499"/>
      <c r="AN25" s="1357"/>
      <c r="AO25" s="1357"/>
      <c r="AP25" s="1359"/>
      <c r="AQ25" s="1357"/>
      <c r="AR25" s="1345"/>
      <c r="AS25" s="1357"/>
      <c r="AT25" s="581" t="str">
        <f t="shared" ref="AT25" si="8">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51"/>
      <c r="AV25" s="1493"/>
      <c r="AW25" s="649" t="str">
        <f>IF('別紙様式2-2（４・５月分）'!O22="","",'別紙様式2-2（４・５月分）'!O22)</f>
        <v/>
      </c>
      <c r="AX25" s="1507"/>
      <c r="AY25" s="163"/>
      <c r="AZ25" s="163"/>
      <c r="BA25" s="163"/>
      <c r="BB25" s="163"/>
      <c r="BC25" s="163"/>
      <c r="BD25" s="163"/>
      <c r="BE25" s="163"/>
      <c r="BF25" s="163"/>
      <c r="BG25" s="163"/>
      <c r="BH25" s="163"/>
      <c r="BI25" s="163"/>
      <c r="BJ25" s="163"/>
      <c r="BK25" s="163"/>
      <c r="BL25" s="543" t="str">
        <f>G22</f>
        <v/>
      </c>
    </row>
    <row r="26" spans="1:64" ht="30" customHeight="1">
      <c r="A26" s="1241">
        <v>4</v>
      </c>
      <c r="B26" s="1272" t="str">
        <f>IF(基本情報入力シート!C57="","",基本情報入力シート!C57)</f>
        <v/>
      </c>
      <c r="C26" s="1261"/>
      <c r="D26" s="1261"/>
      <c r="E26" s="1261"/>
      <c r="F26" s="1262"/>
      <c r="G26" s="1266" t="str">
        <f>IF(基本情報入力シート!M57="","",基本情報入力シート!M57)</f>
        <v/>
      </c>
      <c r="H26" s="1266" t="str">
        <f>IF(基本情報入力シート!R57="","",基本情報入力シート!R57)</f>
        <v/>
      </c>
      <c r="I26" s="1266" t="str">
        <f>IF(基本情報入力シート!W57="","",基本情報入力シート!W57)</f>
        <v/>
      </c>
      <c r="J26" s="1372" t="str">
        <f>IF(基本情報入力シート!X57="","",基本情報入力シート!X57)</f>
        <v/>
      </c>
      <c r="K26" s="1266" t="str">
        <f>IF(基本情報入力シート!Y57="","",基本情報入力シート!Y57)</f>
        <v/>
      </c>
      <c r="L26" s="1451" t="str">
        <f>IF(基本情報入力シート!AB57="","",基本情報入力シート!AB57)</f>
        <v/>
      </c>
      <c r="M26" s="1453" t="str">
        <f>IF(基本情報入力シート!AC57="","",基本情報入力シート!AC57)</f>
        <v/>
      </c>
      <c r="N26" s="647" t="str">
        <f>IF('別紙様式2-2（４・５月分）'!Q23="","",'別紙様式2-2（４・５月分）'!Q23)</f>
        <v/>
      </c>
      <c r="O26" s="1366" t="str">
        <f>IF(SUM('別紙様式2-2（４・５月分）'!R23:R25)=0,"",SUM('別紙様式2-2（４・５月分）'!R23:R25))</f>
        <v/>
      </c>
      <c r="P26" s="1380" t="str">
        <f>IFERROR(VLOOKUP('別紙様式2-2（４・５月分）'!AR23,【参考】数式用!$AT$5:$AU$22,2,FALSE),"")</f>
        <v/>
      </c>
      <c r="Q26" s="1381"/>
      <c r="R26" s="1382"/>
      <c r="S26" s="1392" t="str">
        <f>IFERROR(VLOOKUP(K26,【参考】数式用!$A$5:$AB$27,MATCH(P26,【参考】数式用!$B$4:$AB$4,0)+1,0),"")</f>
        <v/>
      </c>
      <c r="T26" s="1413" t="s">
        <v>2173</v>
      </c>
      <c r="U26" s="1455"/>
      <c r="V26" s="1457" t="str">
        <f>IFERROR(VLOOKUP(K26,【参考】数式用!$A$5:$AB$27,MATCH(U26,【参考】数式用!$B$4:$AB$4,0)+1,0),"")</f>
        <v/>
      </c>
      <c r="W26" s="1350" t="s">
        <v>19</v>
      </c>
      <c r="X26" s="1352">
        <v>6</v>
      </c>
      <c r="Y26" s="1354" t="s">
        <v>10</v>
      </c>
      <c r="Z26" s="1352">
        <v>6</v>
      </c>
      <c r="AA26" s="1354" t="s">
        <v>45</v>
      </c>
      <c r="AB26" s="1352">
        <v>7</v>
      </c>
      <c r="AC26" s="1354" t="s">
        <v>10</v>
      </c>
      <c r="AD26" s="1352">
        <v>3</v>
      </c>
      <c r="AE26" s="1354" t="s">
        <v>13</v>
      </c>
      <c r="AF26" s="1354" t="s">
        <v>24</v>
      </c>
      <c r="AG26" s="1354">
        <f>IF(X26&gt;=1,(AB26*12+AD26)-(X26*12+Z26)+1,"")</f>
        <v>10</v>
      </c>
      <c r="AH26" s="1360" t="s">
        <v>38</v>
      </c>
      <c r="AI26" s="1481" t="str">
        <f>IFERROR(ROUNDDOWN(ROUND(L26*V26,0)*M26,0)*AG26,"")</f>
        <v/>
      </c>
      <c r="AJ26" s="1483" t="str">
        <f>IFERROR(ROUNDDOWN(ROUND((L26*(V26-AX26)),0)*M26,0)*AG26,"")</f>
        <v/>
      </c>
      <c r="AK26" s="1485">
        <f>IFERROR(IF(OR(N26="",N27="",N29=""),0,ROUNDDOWN(ROUNDDOWN(ROUND(L26*VLOOKUP(K26,【参考】数式用!$A$5:$AB$27,MATCH("新加算Ⅳ",【参考】数式用!$B$4:$AB$4,0)+1,0),0)*M26,0)*AG26*0.5,0)),"")</f>
        <v>0</v>
      </c>
      <c r="AL26" s="1433"/>
      <c r="AM26" s="1487">
        <f>IFERROR(IF(OR(N29="ベア加算",N29=""),0, IF(OR(U26="新加算Ⅰ",U26="新加算Ⅱ",U26="新加算Ⅲ",U26="新加算Ⅳ"),ROUNDDOWN(ROUND(L26*VLOOKUP(K26,【参考】数式用!$A$5:$I$27,MATCH("ベア加算",【参考】数式用!$B$4:$I$4,0)+1,0),0)*M26,0)*AG26,0)),"")</f>
        <v>0</v>
      </c>
      <c r="AN26" s="1502"/>
      <c r="AO26" s="1364"/>
      <c r="AP26" s="1403"/>
      <c r="AQ26" s="1403"/>
      <c r="AR26" s="1489"/>
      <c r="AS26" s="1491"/>
      <c r="AT26" s="556" t="str">
        <f t="shared" si="0"/>
        <v/>
      </c>
      <c r="AU26" s="651"/>
      <c r="AV26" s="1493" t="str">
        <f>IF(K26&lt;&gt;"","V列に色付け","")</f>
        <v/>
      </c>
      <c r="AW26" s="649" t="str">
        <f>IF('別紙様式2-2（４・５月分）'!O23="","",'別紙様式2-2（４・５月分）'!O23)</f>
        <v/>
      </c>
      <c r="AX26" s="1507" t="str">
        <f>IF(SUM('別紙様式2-2（４・５月分）'!P23:P25)=0,"",SUM('別紙様式2-2（４・５月分）'!P23:P25))</f>
        <v/>
      </c>
      <c r="AY26" s="1506" t="str">
        <f>IFERROR(VLOOKUP(K26,【参考】数式用!$AJ$2:$AK$24,2,FALSE),"")</f>
        <v/>
      </c>
      <c r="AZ26" s="1321" t="s">
        <v>2098</v>
      </c>
      <c r="BA26" s="1321" t="s">
        <v>2099</v>
      </c>
      <c r="BB26" s="1321" t="s">
        <v>2100</v>
      </c>
      <c r="BC26" s="1321" t="s">
        <v>2101</v>
      </c>
      <c r="BD26" s="1321" t="str">
        <f>IF(AND(P26&lt;&gt;"新加算Ⅰ",P26&lt;&gt;"新加算Ⅱ",P26&lt;&gt;"新加算Ⅲ",P26&lt;&gt;"新加算Ⅳ"),P26,IF(Q28&lt;&gt;"",Q28,""))</f>
        <v/>
      </c>
      <c r="BE26" s="1321"/>
      <c r="BF26" s="1321" t="str">
        <f t="shared" ref="BF26" si="9">IF(AM26&lt;&gt;0,IF(AN26="○","入力済","未入力"),"")</f>
        <v/>
      </c>
      <c r="BG26" s="1321"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321" t="str">
        <f>IF(OR(U26="新加算Ⅴ（７）",U26="新加算Ⅴ（９）",U26="新加算Ⅴ（10）",U26="新加算Ⅴ（12）",U26="新加算Ⅴ（13）",U26="新加算Ⅴ（14）"),IF(OR(AP26="○",AP26="令和６年度中に満たす"),"入力済","未入力"),"")</f>
        <v/>
      </c>
      <c r="BI26" s="1321" t="str">
        <f>IF(OR(U26="新加算Ⅰ",U26="新加算Ⅱ",U26="新加算Ⅲ",U26="新加算Ⅴ（１）",U26="新加算Ⅴ（３）",U26="新加算Ⅴ（８）"),IF(OR(AQ26="○",AQ26="令和６年度中に満たす"),"入力済","未入力"),"")</f>
        <v/>
      </c>
      <c r="BJ26" s="1512"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493" t="str">
        <f>IF(OR(U26="新加算Ⅰ",U26="新加算Ⅴ（１）",U26="新加算Ⅴ（２）",U26="新加算Ⅴ（５）",U26="新加算Ⅴ（７）",U26="新加算Ⅴ（10）"),IF(AS26="","未入力","入力済"),"")</f>
        <v/>
      </c>
      <c r="BL26" s="543" t="str">
        <f>G26</f>
        <v/>
      </c>
    </row>
    <row r="27" spans="1:64" ht="15" customHeight="1">
      <c r="A27" s="1226"/>
      <c r="B27" s="1272"/>
      <c r="C27" s="1261"/>
      <c r="D27" s="1261"/>
      <c r="E27" s="1261"/>
      <c r="F27" s="1262"/>
      <c r="G27" s="1266"/>
      <c r="H27" s="1266"/>
      <c r="I27" s="1266"/>
      <c r="J27" s="1372"/>
      <c r="K27" s="1266"/>
      <c r="L27" s="1451"/>
      <c r="M27" s="1453"/>
      <c r="N27" s="1370" t="str">
        <f>IF('別紙様式2-2（４・５月分）'!Q24="","",'別紙様式2-2（４・５月分）'!Q24)</f>
        <v/>
      </c>
      <c r="O27" s="1367"/>
      <c r="P27" s="1383"/>
      <c r="Q27" s="1384"/>
      <c r="R27" s="1385"/>
      <c r="S27" s="1393"/>
      <c r="T27" s="1414"/>
      <c r="U27" s="1456"/>
      <c r="V27" s="1458"/>
      <c r="W27" s="1351"/>
      <c r="X27" s="1353"/>
      <c r="Y27" s="1355"/>
      <c r="Z27" s="1353"/>
      <c r="AA27" s="1355"/>
      <c r="AB27" s="1353"/>
      <c r="AC27" s="1355"/>
      <c r="AD27" s="1353"/>
      <c r="AE27" s="1355"/>
      <c r="AF27" s="1355"/>
      <c r="AG27" s="1355"/>
      <c r="AH27" s="1361"/>
      <c r="AI27" s="1482"/>
      <c r="AJ27" s="1484"/>
      <c r="AK27" s="1486"/>
      <c r="AL27" s="1434"/>
      <c r="AM27" s="1488"/>
      <c r="AN27" s="1503"/>
      <c r="AO27" s="1365"/>
      <c r="AP27" s="1404"/>
      <c r="AQ27" s="1404"/>
      <c r="AR27" s="1490"/>
      <c r="AS27" s="1492"/>
      <c r="AT27" s="1331" t="str">
        <f t="shared" si="2"/>
        <v/>
      </c>
      <c r="AU27" s="651"/>
      <c r="AV27" s="1493"/>
      <c r="AW27" s="1516" t="str">
        <f>IF('別紙様式2-2（４・５月分）'!O24="","",'別紙様式2-2（４・５月分）'!O24)</f>
        <v/>
      </c>
      <c r="AX27" s="1507"/>
      <c r="AY27" s="1506"/>
      <c r="AZ27" s="1321"/>
      <c r="BA27" s="1321"/>
      <c r="BB27" s="1321"/>
      <c r="BC27" s="1321"/>
      <c r="BD27" s="1321"/>
      <c r="BE27" s="1321"/>
      <c r="BF27" s="1321"/>
      <c r="BG27" s="1321"/>
      <c r="BH27" s="1321"/>
      <c r="BI27" s="1321"/>
      <c r="BJ27" s="1512"/>
      <c r="BK27" s="1493"/>
      <c r="BL27" s="543" t="str">
        <f>G26</f>
        <v/>
      </c>
    </row>
    <row r="28" spans="1:64" ht="15" customHeight="1">
      <c r="A28" s="1240"/>
      <c r="B28" s="1272"/>
      <c r="C28" s="1261"/>
      <c r="D28" s="1261"/>
      <c r="E28" s="1261"/>
      <c r="F28" s="1262"/>
      <c r="G28" s="1266"/>
      <c r="H28" s="1266"/>
      <c r="I28" s="1266"/>
      <c r="J28" s="1372"/>
      <c r="K28" s="1266"/>
      <c r="L28" s="1451"/>
      <c r="M28" s="1453"/>
      <c r="N28" s="1371"/>
      <c r="O28" s="1368"/>
      <c r="P28" s="1390" t="s">
        <v>2179</v>
      </c>
      <c r="Q28" s="1504" t="str">
        <f>IFERROR(VLOOKUP('別紙様式2-2（４・５月分）'!AR23,【参考】数式用!$AT$5:$AV$22,3,FALSE),"")</f>
        <v/>
      </c>
      <c r="R28" s="1388" t="s">
        <v>2190</v>
      </c>
      <c r="S28" s="1394" t="str">
        <f>IFERROR(VLOOKUP(K26,【参考】数式用!$A$5:$AB$27,MATCH(Q28,【参考】数式用!$B$4:$AB$4,0)+1,0),"")</f>
        <v/>
      </c>
      <c r="T28" s="1459" t="s">
        <v>217</v>
      </c>
      <c r="U28" s="1461"/>
      <c r="V28" s="1463" t="str">
        <f>IFERROR(VLOOKUP(K26,【参考】数式用!$A$5:$AB$27,MATCH(U28,【参考】数式用!$B$4:$AB$4,0)+1,0),"")</f>
        <v/>
      </c>
      <c r="W28" s="1465" t="s">
        <v>19</v>
      </c>
      <c r="X28" s="1405">
        <v>7</v>
      </c>
      <c r="Y28" s="1407" t="s">
        <v>10</v>
      </c>
      <c r="Z28" s="1405">
        <v>4</v>
      </c>
      <c r="AA28" s="1407" t="s">
        <v>45</v>
      </c>
      <c r="AB28" s="1405">
        <v>8</v>
      </c>
      <c r="AC28" s="1407" t="s">
        <v>10</v>
      </c>
      <c r="AD28" s="1405">
        <v>3</v>
      </c>
      <c r="AE28" s="1407" t="s">
        <v>13</v>
      </c>
      <c r="AF28" s="1407" t="s">
        <v>24</v>
      </c>
      <c r="AG28" s="1407">
        <f>IF(X28&gt;=1,(AB28*12+AD28)-(X28*12+Z28)+1,"")</f>
        <v>12</v>
      </c>
      <c r="AH28" s="1409" t="s">
        <v>38</v>
      </c>
      <c r="AI28" s="1496" t="str">
        <f>IFERROR(ROUNDDOWN(ROUND(L26*V28,0)*M26,0)*AG28,"")</f>
        <v/>
      </c>
      <c r="AJ28" s="1469" t="str">
        <f>IFERROR(ROUNDDOWN(ROUND((L26*(V28-AX26)),0)*M26,0)*AG28,"")</f>
        <v/>
      </c>
      <c r="AK28" s="1494">
        <f>IFERROR(IF(OR(N26="",N27="",N29=""),0,ROUNDDOWN(ROUNDDOWN(ROUND(L26*VLOOKUP(K26,【参考】数式用!$A$5:$AB$27,MATCH("新加算Ⅳ",【参考】数式用!$B$4:$AB$4,0)+1,0),0)*M26,0)*AG28*0.5,0)),"")</f>
        <v>0</v>
      </c>
      <c r="AL28" s="1435" t="str">
        <f>IF(U28&lt;&gt;"","新規に適用","")</f>
        <v/>
      </c>
      <c r="AM28" s="1498">
        <f>IFERROR(IF(OR(N29="ベア加算",N29=""),0, IF(OR(U26="新加算Ⅰ",U26="新加算Ⅱ",U26="新加算Ⅲ",U26="新加算Ⅳ"),0,ROUNDDOWN(ROUND(L26*VLOOKUP(K26,【参考】数式用!$A$5:$I$27,MATCH("ベア加算",【参考】数式用!$B$4:$I$4,0)+1,0),0)*M26,0)*AG28)),"")</f>
        <v>0</v>
      </c>
      <c r="AN28" s="1356" t="str">
        <f t="shared" ref="AN28" si="10">IF(AM28=0,"",IF(AND(U28&lt;&gt;"",AN26=""),"新規に適用",IF(AND(U28&lt;&gt;"",AN26&lt;&gt;""),"継続で適用","")))</f>
        <v/>
      </c>
      <c r="AO28" s="1356" t="str">
        <f>IF(AND(U28&lt;&gt;"",AO26=""),"新規に適用",IF(AND(U28&lt;&gt;"",AO26&lt;&gt;""),"継続で適用",""))</f>
        <v/>
      </c>
      <c r="AP28" s="1358"/>
      <c r="AQ28" s="1356" t="str">
        <f>IF(AND(U28&lt;&gt;"",AQ26=""),"新規に適用",IF(AND(U28&lt;&gt;"",AQ26&lt;&gt;""),"継続で適用",""))</f>
        <v/>
      </c>
      <c r="AR28" s="1344" t="str">
        <f t="shared" ref="AR28" si="11">IF(AND(U28&lt;&gt;"",AO26=""),"新規に適用",IF(AND(U28&lt;&gt;"",OR(U26="新加算Ⅰ",U26="新加算Ⅱ",U26="新加算Ⅴ（１）",U26="新加算Ⅴ（２）",U26="新加算Ⅴ（３）",U26="新加算Ⅴ（４）",U26="新加算Ⅴ（５）",U26="新加算Ⅴ（６）",U26="新加算Ⅴ（７）",U26="新加算Ⅴ（９）",U26="新加算Ⅴ（10）",U26="新加算Ⅴ（12）")),"継続で適用",""))</f>
        <v/>
      </c>
      <c r="AS28" s="1356" t="str">
        <f>IF(AND(U28&lt;&gt;"",AS26=""),"新規に適用",IF(AND(U28&lt;&gt;"",AS26&lt;&gt;""),"継続で適用",""))</f>
        <v/>
      </c>
      <c r="AT28" s="1331"/>
      <c r="AU28" s="651"/>
      <c r="AV28" s="1493" t="str">
        <f>IF(K26&lt;&gt;"","V列に色付け","")</f>
        <v/>
      </c>
      <c r="AW28" s="1516"/>
      <c r="AX28" s="1507"/>
      <c r="AY28" s="163"/>
      <c r="AZ28" s="163"/>
      <c r="BA28" s="163"/>
      <c r="BB28" s="163"/>
      <c r="BC28" s="163"/>
      <c r="BD28" s="163"/>
      <c r="BE28" s="163"/>
      <c r="BF28" s="163"/>
      <c r="BG28" s="163"/>
      <c r="BH28" s="163"/>
      <c r="BI28" s="163"/>
      <c r="BJ28" s="163"/>
      <c r="BK28" s="163"/>
      <c r="BL28" s="543" t="str">
        <f>G26</f>
        <v/>
      </c>
    </row>
    <row r="29" spans="1:64" ht="30" customHeight="1" thickBot="1">
      <c r="A29" s="1227"/>
      <c r="B29" s="1376"/>
      <c r="C29" s="1377"/>
      <c r="D29" s="1377"/>
      <c r="E29" s="1377"/>
      <c r="F29" s="1378"/>
      <c r="G29" s="1267"/>
      <c r="H29" s="1267"/>
      <c r="I29" s="1267"/>
      <c r="J29" s="1373"/>
      <c r="K29" s="1267"/>
      <c r="L29" s="1452"/>
      <c r="M29" s="1454"/>
      <c r="N29" s="650" t="str">
        <f>IF('別紙様式2-2（４・５月分）'!Q25="","",'別紙様式2-2（４・５月分）'!Q25)</f>
        <v/>
      </c>
      <c r="O29" s="1369"/>
      <c r="P29" s="1391"/>
      <c r="Q29" s="1505"/>
      <c r="R29" s="1389"/>
      <c r="S29" s="1395"/>
      <c r="T29" s="1460"/>
      <c r="U29" s="1462"/>
      <c r="V29" s="1464"/>
      <c r="W29" s="1466"/>
      <c r="X29" s="1406"/>
      <c r="Y29" s="1408"/>
      <c r="Z29" s="1406"/>
      <c r="AA29" s="1408"/>
      <c r="AB29" s="1406"/>
      <c r="AC29" s="1408"/>
      <c r="AD29" s="1406"/>
      <c r="AE29" s="1408"/>
      <c r="AF29" s="1408"/>
      <c r="AG29" s="1408"/>
      <c r="AH29" s="1410"/>
      <c r="AI29" s="1497"/>
      <c r="AJ29" s="1470"/>
      <c r="AK29" s="1495"/>
      <c r="AL29" s="1436"/>
      <c r="AM29" s="1499"/>
      <c r="AN29" s="1357"/>
      <c r="AO29" s="1357"/>
      <c r="AP29" s="1359"/>
      <c r="AQ29" s="1357"/>
      <c r="AR29" s="1345"/>
      <c r="AS29" s="1357"/>
      <c r="AT29" s="581" t="str">
        <f t="shared" ref="AT29" si="12">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51"/>
      <c r="AV29" s="1493"/>
      <c r="AW29" s="649" t="str">
        <f>IF('別紙様式2-2（４・５月分）'!O25="","",'別紙様式2-2（４・５月分）'!O25)</f>
        <v/>
      </c>
      <c r="AX29" s="1507"/>
      <c r="AY29" s="163"/>
      <c r="AZ29" s="163"/>
      <c r="BA29" s="163"/>
      <c r="BB29" s="163"/>
      <c r="BC29" s="163"/>
      <c r="BD29" s="163"/>
      <c r="BE29" s="163"/>
      <c r="BF29" s="163"/>
      <c r="BG29" s="163"/>
      <c r="BH29" s="163"/>
      <c r="BI29" s="163"/>
      <c r="BJ29" s="163"/>
      <c r="BK29" s="163"/>
      <c r="BL29" s="543" t="str">
        <f>G26</f>
        <v/>
      </c>
    </row>
    <row r="30" spans="1:64" ht="30" customHeight="1">
      <c r="A30" s="1225">
        <v>5</v>
      </c>
      <c r="B30" s="1271" t="str">
        <f>IF(基本情報入力シート!C58="","",基本情報入力シート!C58)</f>
        <v/>
      </c>
      <c r="C30" s="1259"/>
      <c r="D30" s="1259"/>
      <c r="E30" s="1259"/>
      <c r="F30" s="1260"/>
      <c r="G30" s="1265" t="str">
        <f>IF(基本情報入力シート!M58="","",基本情報入力シート!M58)</f>
        <v/>
      </c>
      <c r="H30" s="1265" t="str">
        <f>IF(基本情報入力シート!R58="","",基本情報入力シート!R58)</f>
        <v/>
      </c>
      <c r="I30" s="1265" t="str">
        <f>IF(基本情報入力シート!W58="","",基本情報入力シート!W58)</f>
        <v/>
      </c>
      <c r="J30" s="1379" t="str">
        <f>IF(基本情報入力シート!X58="","",基本情報入力シート!X58)</f>
        <v/>
      </c>
      <c r="K30" s="1265" t="str">
        <f>IF(基本情報入力シート!Y58="","",基本情報入力シート!Y58)</f>
        <v/>
      </c>
      <c r="L30" s="1450" t="str">
        <f>IF(基本情報入力シート!AB58="","",基本情報入力シート!AB58)</f>
        <v/>
      </c>
      <c r="M30" s="1447" t="str">
        <f>IF(基本情報入力シート!AC58="","",基本情報入力シート!AC58)</f>
        <v/>
      </c>
      <c r="N30" s="647" t="str">
        <f>IF('別紙様式2-2（４・５月分）'!Q26="","",'別紙様式2-2（４・５月分）'!Q26)</f>
        <v/>
      </c>
      <c r="O30" s="1366" t="str">
        <f>IF(SUM('別紙様式2-2（４・５月分）'!R26:R28)=0,"",SUM('別紙様式2-2（４・５月分）'!R26:R28))</f>
        <v/>
      </c>
      <c r="P30" s="1380" t="str">
        <f>IFERROR(VLOOKUP('別紙様式2-2（４・５月分）'!AR26,【参考】数式用!$AT$5:$AU$22,2,FALSE),"")</f>
        <v/>
      </c>
      <c r="Q30" s="1381"/>
      <c r="R30" s="1382"/>
      <c r="S30" s="1392" t="str">
        <f>IFERROR(VLOOKUP(K30,【参考】数式用!$A$5:$AB$27,MATCH(P30,【参考】数式用!$B$4:$AB$4,0)+1,0),"")</f>
        <v/>
      </c>
      <c r="T30" s="1413" t="s">
        <v>2173</v>
      </c>
      <c r="U30" s="1455"/>
      <c r="V30" s="1457" t="str">
        <f>IFERROR(VLOOKUP(K30,【参考】数式用!$A$5:$AB$27,MATCH(U30,【参考】数式用!$B$4:$AB$4,0)+1,0),"")</f>
        <v/>
      </c>
      <c r="W30" s="1350" t="s">
        <v>19</v>
      </c>
      <c r="X30" s="1352">
        <v>6</v>
      </c>
      <c r="Y30" s="1354" t="s">
        <v>10</v>
      </c>
      <c r="Z30" s="1352">
        <v>6</v>
      </c>
      <c r="AA30" s="1354" t="s">
        <v>45</v>
      </c>
      <c r="AB30" s="1352">
        <v>7</v>
      </c>
      <c r="AC30" s="1354" t="s">
        <v>10</v>
      </c>
      <c r="AD30" s="1352">
        <v>3</v>
      </c>
      <c r="AE30" s="1354" t="s">
        <v>13</v>
      </c>
      <c r="AF30" s="1354" t="s">
        <v>24</v>
      </c>
      <c r="AG30" s="1354">
        <f>IF(X30&gt;=1,(AB30*12+AD30)-(X30*12+Z30)+1,"")</f>
        <v>10</v>
      </c>
      <c r="AH30" s="1360" t="s">
        <v>38</v>
      </c>
      <c r="AI30" s="1481" t="str">
        <f>IFERROR(ROUNDDOWN(ROUND(L30*V30,0)*M30,0)*AG30,"")</f>
        <v/>
      </c>
      <c r="AJ30" s="1483" t="str">
        <f>IFERROR(ROUNDDOWN(ROUND((L30*(V30-AX30)),0)*M30,0)*AG30,"")</f>
        <v/>
      </c>
      <c r="AK30" s="1485">
        <f>IFERROR(IF(OR(N30="",N31="",N33=""),0,ROUNDDOWN(ROUNDDOWN(ROUND(L30*VLOOKUP(K30,【参考】数式用!$A$5:$AB$27,MATCH("新加算Ⅳ",【参考】数式用!$B$4:$AB$4,0)+1,0),0)*M30,0)*AG30*0.5,0)),"")</f>
        <v>0</v>
      </c>
      <c r="AL30" s="1433"/>
      <c r="AM30" s="1487">
        <f>IFERROR(IF(OR(N33="ベア加算",N33=""),0, IF(OR(U30="新加算Ⅰ",U30="新加算Ⅱ",U30="新加算Ⅲ",U30="新加算Ⅳ"),ROUNDDOWN(ROUND(L30*VLOOKUP(K30,【参考】数式用!$A$5:$I$27,MATCH("ベア加算",【参考】数式用!$B$4:$I$4,0)+1,0),0)*M30,0)*AG30,0)),"")</f>
        <v>0</v>
      </c>
      <c r="AN30" s="1502"/>
      <c r="AO30" s="1364"/>
      <c r="AP30" s="1403"/>
      <c r="AQ30" s="1403"/>
      <c r="AR30" s="1489"/>
      <c r="AS30" s="1491"/>
      <c r="AT30" s="556" t="str">
        <f t="shared" si="0"/>
        <v/>
      </c>
      <c r="AU30" s="651"/>
      <c r="AV30" s="1493" t="str">
        <f>IF(K30&lt;&gt;"","V列に色付け","")</f>
        <v/>
      </c>
      <c r="AW30" s="652" t="str">
        <f>IF('別紙様式2-2（４・５月分）'!O26="","",'別紙様式2-2（４・５月分）'!O26)</f>
        <v/>
      </c>
      <c r="AX30" s="1521" t="str">
        <f>IF(SUM('別紙様式2-2（４・５月分）'!P26:P28)=0,"",SUM('別紙様式2-2（４・５月分）'!P26:P28))</f>
        <v/>
      </c>
      <c r="AY30" s="1506" t="str">
        <f>IFERROR(VLOOKUP(K30,【参考】数式用!$AJ$2:$AK$24,2,FALSE),"")</f>
        <v/>
      </c>
      <c r="AZ30" s="1321" t="s">
        <v>2098</v>
      </c>
      <c r="BA30" s="1321" t="s">
        <v>2099</v>
      </c>
      <c r="BB30" s="1321" t="s">
        <v>2100</v>
      </c>
      <c r="BC30" s="1321" t="s">
        <v>2101</v>
      </c>
      <c r="BD30" s="1321" t="str">
        <f>IF(AND(P30&lt;&gt;"新加算Ⅰ",P30&lt;&gt;"新加算Ⅱ",P30&lt;&gt;"新加算Ⅲ",P30&lt;&gt;"新加算Ⅳ"),P30,IF(Q32&lt;&gt;"",Q32,""))</f>
        <v/>
      </c>
      <c r="BE30" s="1321"/>
      <c r="BF30" s="1321" t="str">
        <f t="shared" ref="BF30" si="13">IF(AM30&lt;&gt;0,IF(AN30="○","入力済","未入力"),"")</f>
        <v/>
      </c>
      <c r="BG30" s="1321"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321" t="str">
        <f>IF(OR(U30="新加算Ⅴ（７）",U30="新加算Ⅴ（９）",U30="新加算Ⅴ（10）",U30="新加算Ⅴ（12）",U30="新加算Ⅴ（13）",U30="新加算Ⅴ（14）"),IF(OR(AP30="○",AP30="令和６年度中に満たす"),"入力済","未入力"),"")</f>
        <v/>
      </c>
      <c r="BI30" s="1321" t="str">
        <f>IF(OR(U30="新加算Ⅰ",U30="新加算Ⅱ",U30="新加算Ⅲ",U30="新加算Ⅴ（１）",U30="新加算Ⅴ（３）",U30="新加算Ⅴ（８）"),IF(OR(AQ30="○",AQ30="令和６年度中に満たす"),"入力済","未入力"),"")</f>
        <v/>
      </c>
      <c r="BJ30" s="1512"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493" t="str">
        <f>IF(OR(U30="新加算Ⅰ",U30="新加算Ⅴ（１）",U30="新加算Ⅴ（２）",U30="新加算Ⅴ（５）",U30="新加算Ⅴ（７）",U30="新加算Ⅴ（10）"),IF(AS30="","未入力","入力済"),"")</f>
        <v/>
      </c>
      <c r="BL30" s="543" t="str">
        <f>G30</f>
        <v/>
      </c>
    </row>
    <row r="31" spans="1:64" ht="15" customHeight="1">
      <c r="A31" s="1226"/>
      <c r="B31" s="1272"/>
      <c r="C31" s="1261"/>
      <c r="D31" s="1261"/>
      <c r="E31" s="1261"/>
      <c r="F31" s="1262"/>
      <c r="G31" s="1266"/>
      <c r="H31" s="1266"/>
      <c r="I31" s="1266"/>
      <c r="J31" s="1372"/>
      <c r="K31" s="1266"/>
      <c r="L31" s="1451"/>
      <c r="M31" s="1448"/>
      <c r="N31" s="1370" t="str">
        <f>IF('別紙様式2-2（４・５月分）'!Q27="","",'別紙様式2-2（４・５月分）'!Q27)</f>
        <v/>
      </c>
      <c r="O31" s="1367"/>
      <c r="P31" s="1383"/>
      <c r="Q31" s="1384"/>
      <c r="R31" s="1385"/>
      <c r="S31" s="1393"/>
      <c r="T31" s="1414"/>
      <c r="U31" s="1456"/>
      <c r="V31" s="1458"/>
      <c r="W31" s="1351"/>
      <c r="X31" s="1353"/>
      <c r="Y31" s="1355"/>
      <c r="Z31" s="1353"/>
      <c r="AA31" s="1355"/>
      <c r="AB31" s="1353"/>
      <c r="AC31" s="1355"/>
      <c r="AD31" s="1353"/>
      <c r="AE31" s="1355"/>
      <c r="AF31" s="1355"/>
      <c r="AG31" s="1355"/>
      <c r="AH31" s="1361"/>
      <c r="AI31" s="1482"/>
      <c r="AJ31" s="1484"/>
      <c r="AK31" s="1486"/>
      <c r="AL31" s="1434"/>
      <c r="AM31" s="1488"/>
      <c r="AN31" s="1503"/>
      <c r="AO31" s="1365"/>
      <c r="AP31" s="1404"/>
      <c r="AQ31" s="1404"/>
      <c r="AR31" s="1490"/>
      <c r="AS31" s="1492"/>
      <c r="AT31" s="1331" t="str">
        <f t="shared" si="2"/>
        <v/>
      </c>
      <c r="AU31" s="651"/>
      <c r="AV31" s="1493"/>
      <c r="AW31" s="1518" t="str">
        <f>IF('別紙様式2-2（４・５月分）'!O27="","",'別紙様式2-2（４・５月分）'!O27)</f>
        <v/>
      </c>
      <c r="AX31" s="1521"/>
      <c r="AY31" s="1506"/>
      <c r="AZ31" s="1321"/>
      <c r="BA31" s="1321"/>
      <c r="BB31" s="1321"/>
      <c r="BC31" s="1321"/>
      <c r="BD31" s="1321"/>
      <c r="BE31" s="1321"/>
      <c r="BF31" s="1321"/>
      <c r="BG31" s="1321"/>
      <c r="BH31" s="1321"/>
      <c r="BI31" s="1321"/>
      <c r="BJ31" s="1512"/>
      <c r="BK31" s="1493"/>
      <c r="BL31" s="543" t="str">
        <f>G30</f>
        <v/>
      </c>
    </row>
    <row r="32" spans="1:64" ht="15" customHeight="1">
      <c r="A32" s="1240"/>
      <c r="B32" s="1272"/>
      <c r="C32" s="1261"/>
      <c r="D32" s="1261"/>
      <c r="E32" s="1261"/>
      <c r="F32" s="1262"/>
      <c r="G32" s="1266"/>
      <c r="H32" s="1266"/>
      <c r="I32" s="1266"/>
      <c r="J32" s="1372"/>
      <c r="K32" s="1266"/>
      <c r="L32" s="1451"/>
      <c r="M32" s="1448"/>
      <c r="N32" s="1371"/>
      <c r="O32" s="1368"/>
      <c r="P32" s="1390" t="s">
        <v>2179</v>
      </c>
      <c r="Q32" s="1386" t="str">
        <f>IFERROR(VLOOKUP('別紙様式2-2（４・５月分）'!AR26,【参考】数式用!$AT$5:$AV$22,3,FALSE),"")</f>
        <v/>
      </c>
      <c r="R32" s="1388" t="s">
        <v>2190</v>
      </c>
      <c r="S32" s="1396" t="str">
        <f>IFERROR(VLOOKUP(K30,【参考】数式用!$A$5:$AB$27,MATCH(Q32,【参考】数式用!$B$4:$AB$4,0)+1,0),"")</f>
        <v/>
      </c>
      <c r="T32" s="1459" t="s">
        <v>217</v>
      </c>
      <c r="U32" s="1461"/>
      <c r="V32" s="1463" t="str">
        <f>IFERROR(VLOOKUP(K30,【参考】数式用!$A$5:$AB$27,MATCH(U32,【参考】数式用!$B$4:$AB$4,0)+1,0),"")</f>
        <v/>
      </c>
      <c r="W32" s="1465" t="s">
        <v>19</v>
      </c>
      <c r="X32" s="1405">
        <v>7</v>
      </c>
      <c r="Y32" s="1407" t="s">
        <v>10</v>
      </c>
      <c r="Z32" s="1405">
        <v>4</v>
      </c>
      <c r="AA32" s="1407" t="s">
        <v>45</v>
      </c>
      <c r="AB32" s="1405">
        <v>8</v>
      </c>
      <c r="AC32" s="1407" t="s">
        <v>10</v>
      </c>
      <c r="AD32" s="1405">
        <v>3</v>
      </c>
      <c r="AE32" s="1407" t="s">
        <v>13</v>
      </c>
      <c r="AF32" s="1407" t="s">
        <v>24</v>
      </c>
      <c r="AG32" s="1407">
        <f>IF(X32&gt;=1,(AB32*12+AD32)-(X32*12+Z32)+1,"")</f>
        <v>12</v>
      </c>
      <c r="AH32" s="1409" t="s">
        <v>38</v>
      </c>
      <c r="AI32" s="1496" t="str">
        <f>IFERROR(ROUNDDOWN(ROUND(L30*V32,0)*M30,0)*AG32,"")</f>
        <v/>
      </c>
      <c r="AJ32" s="1469" t="str">
        <f>IFERROR(ROUNDDOWN(ROUND((L30*(V32-AX30)),0)*M30,0)*AG32,"")</f>
        <v/>
      </c>
      <c r="AK32" s="1494">
        <f>IFERROR(IF(OR(N30="",N31="",N33=""),0,ROUNDDOWN(ROUNDDOWN(ROUND(L30*VLOOKUP(K30,【参考】数式用!$A$5:$AB$27,MATCH("新加算Ⅳ",【参考】数式用!$B$4:$AB$4,0)+1,0),0)*M30,0)*AG32*0.5,0)),"")</f>
        <v>0</v>
      </c>
      <c r="AL32" s="1435" t="str">
        <f>IF(U32&lt;&gt;"","新規に適用","")</f>
        <v/>
      </c>
      <c r="AM32" s="1498">
        <f>IFERROR(IF(OR(N33="ベア加算",N33=""),0, IF(OR(U30="新加算Ⅰ",U30="新加算Ⅱ",U30="新加算Ⅲ",U30="新加算Ⅳ"),0,ROUNDDOWN(ROUND(L30*VLOOKUP(K30,【参考】数式用!$A$5:$I$27,MATCH("ベア加算",【参考】数式用!$B$4:$I$4,0)+1,0),0)*M30,0)*AG32)),"")</f>
        <v>0</v>
      </c>
      <c r="AN32" s="1356" t="str">
        <f t="shared" ref="AN32" si="14">IF(AM32=0,"",IF(AND(U32&lt;&gt;"",AN30=""),"新規に適用",IF(AND(U32&lt;&gt;"",AN30&lt;&gt;""),"継続で適用","")))</f>
        <v/>
      </c>
      <c r="AO32" s="1356" t="str">
        <f>IF(AND(U32&lt;&gt;"",AO30=""),"新規に適用",IF(AND(U32&lt;&gt;"",AO30&lt;&gt;""),"継続で適用",""))</f>
        <v/>
      </c>
      <c r="AP32" s="1358"/>
      <c r="AQ32" s="1356" t="str">
        <f>IF(AND(U32&lt;&gt;"",AQ30=""),"新規に適用",IF(AND(U32&lt;&gt;"",AQ30&lt;&gt;""),"継続で適用",""))</f>
        <v/>
      </c>
      <c r="AR32" s="1344" t="str">
        <f t="shared" ref="AR32" si="15">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56" t="str">
        <f>IF(AND(U32&lt;&gt;"",AS30=""),"新規に適用",IF(AND(U32&lt;&gt;"",AS30&lt;&gt;""),"継続で適用",""))</f>
        <v/>
      </c>
      <c r="AT32" s="1331"/>
      <c r="AU32" s="651"/>
      <c r="AV32" s="1493" t="str">
        <f>IF(K30&lt;&gt;"","V列に色付け","")</f>
        <v/>
      </c>
      <c r="AW32" s="1518"/>
      <c r="AX32" s="1521"/>
      <c r="AY32" s="163"/>
      <c r="AZ32" s="163"/>
      <c r="BA32" s="163"/>
      <c r="BB32" s="163"/>
      <c r="BC32" s="163"/>
      <c r="BD32" s="163"/>
      <c r="BE32" s="163"/>
      <c r="BF32" s="163"/>
      <c r="BG32" s="163"/>
      <c r="BH32" s="163"/>
      <c r="BI32" s="163"/>
      <c r="BJ32" s="163"/>
      <c r="BK32" s="163"/>
      <c r="BL32" s="543" t="str">
        <f>G30</f>
        <v/>
      </c>
    </row>
    <row r="33" spans="1:64" ht="30" customHeight="1" thickBot="1">
      <c r="A33" s="1227"/>
      <c r="B33" s="1376"/>
      <c r="C33" s="1377"/>
      <c r="D33" s="1377"/>
      <c r="E33" s="1377"/>
      <c r="F33" s="1378"/>
      <c r="G33" s="1267"/>
      <c r="H33" s="1267"/>
      <c r="I33" s="1267"/>
      <c r="J33" s="1373"/>
      <c r="K33" s="1267"/>
      <c r="L33" s="1452"/>
      <c r="M33" s="1449"/>
      <c r="N33" s="650" t="str">
        <f>IF('別紙様式2-2（４・５月分）'!Q28="","",'別紙様式2-2（４・５月分）'!Q28)</f>
        <v/>
      </c>
      <c r="O33" s="1369"/>
      <c r="P33" s="1391"/>
      <c r="Q33" s="1387"/>
      <c r="R33" s="1389"/>
      <c r="S33" s="1395"/>
      <c r="T33" s="1460"/>
      <c r="U33" s="1462"/>
      <c r="V33" s="1464"/>
      <c r="W33" s="1466"/>
      <c r="X33" s="1406"/>
      <c r="Y33" s="1408"/>
      <c r="Z33" s="1406"/>
      <c r="AA33" s="1408"/>
      <c r="AB33" s="1406"/>
      <c r="AC33" s="1408"/>
      <c r="AD33" s="1406"/>
      <c r="AE33" s="1408"/>
      <c r="AF33" s="1408"/>
      <c r="AG33" s="1408"/>
      <c r="AH33" s="1410"/>
      <c r="AI33" s="1497"/>
      <c r="AJ33" s="1470"/>
      <c r="AK33" s="1495"/>
      <c r="AL33" s="1436"/>
      <c r="AM33" s="1499"/>
      <c r="AN33" s="1357"/>
      <c r="AO33" s="1357"/>
      <c r="AP33" s="1359"/>
      <c r="AQ33" s="1357"/>
      <c r="AR33" s="1345"/>
      <c r="AS33" s="1357"/>
      <c r="AT33" s="581" t="str">
        <f t="shared" ref="AT33" si="16">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
      </c>
      <c r="AU33" s="651"/>
      <c r="AV33" s="1493"/>
      <c r="AW33" s="652" t="str">
        <f>IF('別紙様式2-2（４・５月分）'!O28="","",'別紙様式2-2（４・５月分）'!O28)</f>
        <v/>
      </c>
      <c r="AX33" s="1522"/>
      <c r="AY33" s="163"/>
      <c r="AZ33" s="163"/>
      <c r="BA33" s="163"/>
      <c r="BB33" s="163"/>
      <c r="BC33" s="163"/>
      <c r="BD33" s="163"/>
      <c r="BE33" s="163"/>
      <c r="BF33" s="163"/>
      <c r="BG33" s="163"/>
      <c r="BH33" s="163"/>
      <c r="BI33" s="163"/>
      <c r="BJ33" s="163"/>
      <c r="BK33" s="163"/>
      <c r="BL33" s="543" t="str">
        <f>G30</f>
        <v/>
      </c>
    </row>
    <row r="34" spans="1:64" ht="30" customHeight="1">
      <c r="A34" s="1241">
        <v>6</v>
      </c>
      <c r="B34" s="1272" t="str">
        <f>IF(基本情報入力シート!C59="","",基本情報入力シート!C59)</f>
        <v/>
      </c>
      <c r="C34" s="1261"/>
      <c r="D34" s="1261"/>
      <c r="E34" s="1261"/>
      <c r="F34" s="1262"/>
      <c r="G34" s="1266" t="str">
        <f>IF(基本情報入力シート!M59="","",基本情報入力シート!M59)</f>
        <v/>
      </c>
      <c r="H34" s="1266" t="str">
        <f>IF(基本情報入力シート!R59="","",基本情報入力シート!R59)</f>
        <v/>
      </c>
      <c r="I34" s="1266" t="str">
        <f>IF(基本情報入力シート!W59="","",基本情報入力シート!W59)</f>
        <v/>
      </c>
      <c r="J34" s="1372" t="str">
        <f>IF(基本情報入力シート!X59="","",基本情報入力シート!X59)</f>
        <v/>
      </c>
      <c r="K34" s="1266" t="str">
        <f>IF(基本情報入力シート!Y59="","",基本情報入力シート!Y59)</f>
        <v/>
      </c>
      <c r="L34" s="1247" t="str">
        <f>IF(基本情報入力シート!AB59="","",基本情報入力シート!AB59)</f>
        <v/>
      </c>
      <c r="M34" s="1374" t="str">
        <f>IF(基本情報入力シート!AC59="","",基本情報入力シート!AC59)</f>
        <v/>
      </c>
      <c r="N34" s="647" t="str">
        <f>IF('別紙様式2-2（４・５月分）'!Q29="","",'別紙様式2-2（４・５月分）'!Q29)</f>
        <v/>
      </c>
      <c r="O34" s="1366" t="str">
        <f>IF(SUM('別紙様式2-2（４・５月分）'!R29:R31)=0,"",SUM('別紙様式2-2（４・５月分）'!R29:R31))</f>
        <v/>
      </c>
      <c r="P34" s="1380" t="str">
        <f>IFERROR(VLOOKUP('別紙様式2-2（４・５月分）'!AR29,【参考】数式用!$AT$5:$AU$22,2,FALSE),"")</f>
        <v/>
      </c>
      <c r="Q34" s="1381"/>
      <c r="R34" s="1382"/>
      <c r="S34" s="1392" t="str">
        <f>IFERROR(VLOOKUP(K34,【参考】数式用!$A$5:$AB$27,MATCH(P34,【参考】数式用!$B$4:$AB$4,0)+1,0),"")</f>
        <v/>
      </c>
      <c r="T34" s="1413" t="s">
        <v>2173</v>
      </c>
      <c r="U34" s="1415"/>
      <c r="V34" s="1457" t="str">
        <f>IFERROR(VLOOKUP(K34,【参考】数式用!$A$5:$AB$27,MATCH(U34,【参考】数式用!$B$4:$AB$4,0)+1,0),"")</f>
        <v/>
      </c>
      <c r="W34" s="1350" t="s">
        <v>19</v>
      </c>
      <c r="X34" s="1352">
        <v>6</v>
      </c>
      <c r="Y34" s="1354" t="s">
        <v>10</v>
      </c>
      <c r="Z34" s="1352">
        <v>6</v>
      </c>
      <c r="AA34" s="1354" t="s">
        <v>45</v>
      </c>
      <c r="AB34" s="1352">
        <v>7</v>
      </c>
      <c r="AC34" s="1354" t="s">
        <v>10</v>
      </c>
      <c r="AD34" s="1352">
        <v>3</v>
      </c>
      <c r="AE34" s="1354" t="s">
        <v>2172</v>
      </c>
      <c r="AF34" s="1354" t="s">
        <v>24</v>
      </c>
      <c r="AG34" s="1354">
        <f>IF(X34&gt;=1,(AB34*12+AD34)-(X34*12+Z34)+1,"")</f>
        <v>10</v>
      </c>
      <c r="AH34" s="1360" t="s">
        <v>38</v>
      </c>
      <c r="AI34" s="1481" t="str">
        <f>IFERROR(ROUNDDOWN(ROUND(L34*V34,0)*M34,0)*AG34,"")</f>
        <v/>
      </c>
      <c r="AJ34" s="1483" t="str">
        <f>IFERROR(ROUNDDOWN(ROUND((L34*(V34-AX34)),0)*M34,0)*AG34,"")</f>
        <v/>
      </c>
      <c r="AK34" s="1485">
        <f>IFERROR(IF(OR(N34="",N35="",N37=""),0,ROUNDDOWN(ROUNDDOWN(ROUND(L34*VLOOKUP(K34,【参考】数式用!$A$5:$AB$27,MATCH("新加算Ⅳ",【参考】数式用!$B$4:$AB$4,0)+1,0),0)*M34,0)*AG34*0.5,0)),"")</f>
        <v>0</v>
      </c>
      <c r="AL34" s="1433"/>
      <c r="AM34" s="1487">
        <f>IFERROR(IF(OR(N37="ベア加算",N37=""),0, IF(OR(U34="新加算Ⅰ",U34="新加算Ⅱ",U34="新加算Ⅲ",U34="新加算Ⅳ"),ROUNDDOWN(ROUND(L34*VLOOKUP(K34,【参考】数式用!$A$5:$I$27,MATCH("ベア加算",【参考】数式用!$B$4:$I$4,0)+1,0),0)*M34,0)*AG34,0)),"")</f>
        <v>0</v>
      </c>
      <c r="AN34" s="1502"/>
      <c r="AO34" s="1364"/>
      <c r="AP34" s="1403"/>
      <c r="AQ34" s="1403"/>
      <c r="AR34" s="1489"/>
      <c r="AS34" s="1491"/>
      <c r="AT34" s="556" t="str">
        <f t="shared" si="0"/>
        <v/>
      </c>
      <c r="AU34" s="651"/>
      <c r="AV34" s="1493" t="str">
        <f>IF(K34&lt;&gt;"","V列に色付け","")</f>
        <v/>
      </c>
      <c r="AW34" s="652" t="str">
        <f>IF('別紙様式2-2（４・５月分）'!O29="","",'別紙様式2-2（４・５月分）'!O29)</f>
        <v/>
      </c>
      <c r="AX34" s="1523" t="str">
        <f>IF(SUM('別紙様式2-2（４・５月分）'!P29:P31)=0,"",SUM('別紙様式2-2（４・５月分）'!P29:P31))</f>
        <v/>
      </c>
      <c r="AY34" s="1506" t="str">
        <f>IFERROR(VLOOKUP(K34,【参考】数式用!$AJ$2:$AK$24,2,FALSE),"")</f>
        <v/>
      </c>
      <c r="AZ34" s="1321" t="s">
        <v>2098</v>
      </c>
      <c r="BA34" s="1321" t="s">
        <v>2099</v>
      </c>
      <c r="BB34" s="1321" t="s">
        <v>2100</v>
      </c>
      <c r="BC34" s="1321" t="s">
        <v>2101</v>
      </c>
      <c r="BD34" s="1321" t="str">
        <f>IF(AND(P34&lt;&gt;"新加算Ⅰ",P34&lt;&gt;"新加算Ⅱ",P34&lt;&gt;"新加算Ⅲ",P34&lt;&gt;"新加算Ⅳ"),P34,IF(Q36&lt;&gt;"",Q36,""))</f>
        <v/>
      </c>
      <c r="BE34" s="1321"/>
      <c r="BF34" s="1321" t="str">
        <f t="shared" ref="BF34" si="17">IF(AM34&lt;&gt;0,IF(AN34="○","入力済","未入力"),"")</f>
        <v/>
      </c>
      <c r="BG34" s="1321"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
      </c>
      <c r="BH34" s="1321" t="str">
        <f>IF(OR(U34="新加算Ⅴ（７）",U34="新加算Ⅴ（９）",U34="新加算Ⅴ（10）",U34="新加算Ⅴ（12）",U34="新加算Ⅴ（13）",U34="新加算Ⅴ（14）"),IF(OR(AP34="○",AP34="令和６年度中に満たす"),"入力済","未入力"),"")</f>
        <v/>
      </c>
      <c r="BI34" s="1321" t="str">
        <f>IF(OR(U34="新加算Ⅰ",U34="新加算Ⅱ",U34="新加算Ⅲ",U34="新加算Ⅴ（１）",U34="新加算Ⅴ（３）",U34="新加算Ⅴ（８）"),IF(OR(AQ34="○",AQ34="令和６年度中に満たす"),"入力済","未入力"),"")</f>
        <v/>
      </c>
      <c r="BJ34" s="1512" t="str">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
      </c>
      <c r="BK34" s="1493" t="str">
        <f>IF(OR(U34="新加算Ⅰ",U34="新加算Ⅴ（１）",U34="新加算Ⅴ（２）",U34="新加算Ⅴ（５）",U34="新加算Ⅴ（７）",U34="新加算Ⅴ（10）"),IF(AS34="","未入力","入力済"),"")</f>
        <v/>
      </c>
      <c r="BL34" s="543" t="str">
        <f>G34</f>
        <v/>
      </c>
    </row>
    <row r="35" spans="1:64" ht="15" customHeight="1">
      <c r="A35" s="1226"/>
      <c r="B35" s="1272"/>
      <c r="C35" s="1261"/>
      <c r="D35" s="1261"/>
      <c r="E35" s="1261"/>
      <c r="F35" s="1262"/>
      <c r="G35" s="1266"/>
      <c r="H35" s="1266"/>
      <c r="I35" s="1266"/>
      <c r="J35" s="1372"/>
      <c r="K35" s="1266"/>
      <c r="L35" s="1247"/>
      <c r="M35" s="1374"/>
      <c r="N35" s="1370" t="str">
        <f>IF('別紙様式2-2（４・５月分）'!Q30="","",'別紙様式2-2（４・５月分）'!Q30)</f>
        <v/>
      </c>
      <c r="O35" s="1367"/>
      <c r="P35" s="1383"/>
      <c r="Q35" s="1384"/>
      <c r="R35" s="1385"/>
      <c r="S35" s="1393"/>
      <c r="T35" s="1414"/>
      <c r="U35" s="1416"/>
      <c r="V35" s="1458"/>
      <c r="W35" s="1351"/>
      <c r="X35" s="1353"/>
      <c r="Y35" s="1355"/>
      <c r="Z35" s="1353"/>
      <c r="AA35" s="1355"/>
      <c r="AB35" s="1353"/>
      <c r="AC35" s="1355"/>
      <c r="AD35" s="1353"/>
      <c r="AE35" s="1355"/>
      <c r="AF35" s="1355"/>
      <c r="AG35" s="1355"/>
      <c r="AH35" s="1361"/>
      <c r="AI35" s="1482"/>
      <c r="AJ35" s="1484"/>
      <c r="AK35" s="1486"/>
      <c r="AL35" s="1434"/>
      <c r="AM35" s="1488"/>
      <c r="AN35" s="1503"/>
      <c r="AO35" s="1365"/>
      <c r="AP35" s="1404"/>
      <c r="AQ35" s="1404"/>
      <c r="AR35" s="1490"/>
      <c r="AS35" s="1492"/>
      <c r="AT35" s="1331" t="str">
        <f t="shared" si="2"/>
        <v/>
      </c>
      <c r="AU35" s="651"/>
      <c r="AV35" s="1493"/>
      <c r="AW35" s="1518" t="str">
        <f>IF('別紙様式2-2（４・５月分）'!O30="","",'別紙様式2-2（４・５月分）'!O30)</f>
        <v/>
      </c>
      <c r="AX35" s="1521"/>
      <c r="AY35" s="1506"/>
      <c r="AZ35" s="1321"/>
      <c r="BA35" s="1321"/>
      <c r="BB35" s="1321"/>
      <c r="BC35" s="1321"/>
      <c r="BD35" s="1321"/>
      <c r="BE35" s="1321"/>
      <c r="BF35" s="1321"/>
      <c r="BG35" s="1321"/>
      <c r="BH35" s="1321"/>
      <c r="BI35" s="1321"/>
      <c r="BJ35" s="1512"/>
      <c r="BK35" s="1493"/>
      <c r="BL35" s="543" t="str">
        <f>G34</f>
        <v/>
      </c>
    </row>
    <row r="36" spans="1:64" ht="15" customHeight="1">
      <c r="A36" s="1240"/>
      <c r="B36" s="1272"/>
      <c r="C36" s="1261"/>
      <c r="D36" s="1261"/>
      <c r="E36" s="1261"/>
      <c r="F36" s="1262"/>
      <c r="G36" s="1266"/>
      <c r="H36" s="1266"/>
      <c r="I36" s="1266"/>
      <c r="J36" s="1372"/>
      <c r="K36" s="1266"/>
      <c r="L36" s="1247"/>
      <c r="M36" s="1374"/>
      <c r="N36" s="1371"/>
      <c r="O36" s="1368"/>
      <c r="P36" s="1390" t="s">
        <v>2179</v>
      </c>
      <c r="Q36" s="1386" t="str">
        <f>IFERROR(VLOOKUP('別紙様式2-2（４・５月分）'!AR29,【参考】数式用!$AT$5:$AV$22,3,FALSE),"")</f>
        <v/>
      </c>
      <c r="R36" s="1388" t="s">
        <v>2190</v>
      </c>
      <c r="S36" s="1394" t="str">
        <f>IFERROR(VLOOKUP(K34,【参考】数式用!$A$5:$AB$27,MATCH(Q36,【参考】数式用!$B$4:$AB$4,0)+1,0),"")</f>
        <v/>
      </c>
      <c r="T36" s="1459" t="s">
        <v>217</v>
      </c>
      <c r="U36" s="1461"/>
      <c r="V36" s="1463" t="str">
        <f>IFERROR(VLOOKUP(K34,【参考】数式用!$A$5:$AB$27,MATCH(U36,【参考】数式用!$B$4:$AB$4,0)+1,0),"")</f>
        <v/>
      </c>
      <c r="W36" s="1465" t="s">
        <v>19</v>
      </c>
      <c r="X36" s="1405">
        <v>7</v>
      </c>
      <c r="Y36" s="1407" t="s">
        <v>10</v>
      </c>
      <c r="Z36" s="1405">
        <v>4</v>
      </c>
      <c r="AA36" s="1407" t="s">
        <v>45</v>
      </c>
      <c r="AB36" s="1405">
        <v>8</v>
      </c>
      <c r="AC36" s="1407" t="s">
        <v>10</v>
      </c>
      <c r="AD36" s="1405">
        <v>3</v>
      </c>
      <c r="AE36" s="1407" t="s">
        <v>2172</v>
      </c>
      <c r="AF36" s="1407" t="s">
        <v>24</v>
      </c>
      <c r="AG36" s="1407">
        <f>IF(X36&gt;=1,(AB36*12+AD36)-(X36*12+Z36)+1,"")</f>
        <v>12</v>
      </c>
      <c r="AH36" s="1409" t="s">
        <v>38</v>
      </c>
      <c r="AI36" s="1496" t="str">
        <f>IFERROR(ROUNDDOWN(ROUND(L34*V36,0)*M34,0)*AG36,"")</f>
        <v/>
      </c>
      <c r="AJ36" s="1469" t="str">
        <f>IFERROR(ROUNDDOWN(ROUND((L34*(V36-AX34)),0)*M34,0)*AG36,"")</f>
        <v/>
      </c>
      <c r="AK36" s="1494">
        <f>IFERROR(IF(OR(N34="",N35="",N37=""),0,ROUNDDOWN(ROUNDDOWN(ROUND(L34*VLOOKUP(K34,【参考】数式用!$A$5:$AB$27,MATCH("新加算Ⅳ",【参考】数式用!$B$4:$AB$4,0)+1,0),0)*M34,0)*AG36*0.5,0)),"")</f>
        <v>0</v>
      </c>
      <c r="AL36" s="1435" t="str">
        <f t="shared" ref="AL36" si="18">IF(U36&lt;&gt;"","新規に適用","")</f>
        <v/>
      </c>
      <c r="AM36" s="1498">
        <f>IFERROR(IF(OR(N37="ベア加算",N37=""),0, IF(OR(U34="新加算Ⅰ",U34="新加算Ⅱ",U34="新加算Ⅲ",U34="新加算Ⅳ"),0,ROUNDDOWN(ROUND(L34*VLOOKUP(K34,【参考】数式用!$A$5:$I$27,MATCH("ベア加算",【参考】数式用!$B$4:$I$4,0)+1,0),0)*M34,0)*AG36)),"")</f>
        <v>0</v>
      </c>
      <c r="AN36" s="1356" t="str">
        <f t="shared" ref="AN36" si="19">IF(AM36=0,"",IF(AND(U36&lt;&gt;"",AN34=""),"新規に適用",IF(AND(U36&lt;&gt;"",AN34&lt;&gt;""),"継続で適用","")))</f>
        <v/>
      </c>
      <c r="AO36" s="1356" t="str">
        <f>IF(AND(U36&lt;&gt;"",AO34=""),"新規に適用",IF(AND(U36&lt;&gt;"",AO34&lt;&gt;""),"継続で適用",""))</f>
        <v/>
      </c>
      <c r="AP36" s="1358"/>
      <c r="AQ36" s="1356" t="str">
        <f>IF(AND(U36&lt;&gt;"",AQ34=""),"新規に適用",IF(AND(U36&lt;&gt;"",AQ34&lt;&gt;""),"継続で適用",""))</f>
        <v/>
      </c>
      <c r="AR36" s="1344" t="str">
        <f t="shared" ref="AR36" si="20">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56" t="str">
        <f>IF(AND(U36&lt;&gt;"",AS34=""),"新規に適用",IF(AND(U36&lt;&gt;"",AS34&lt;&gt;""),"継続で適用",""))</f>
        <v/>
      </c>
      <c r="AT36" s="1331"/>
      <c r="AU36" s="651"/>
      <c r="AV36" s="1493" t="str">
        <f>IF(K34&lt;&gt;"","V列に色付け","")</f>
        <v/>
      </c>
      <c r="AW36" s="1518"/>
      <c r="AX36" s="1521"/>
      <c r="AY36" s="163"/>
      <c r="AZ36" s="163"/>
      <c r="BA36" s="163"/>
      <c r="BB36" s="163"/>
      <c r="BC36" s="163"/>
      <c r="BD36" s="163"/>
      <c r="BE36" s="163"/>
      <c r="BF36" s="163"/>
      <c r="BG36" s="163"/>
      <c r="BH36" s="163"/>
      <c r="BI36" s="163"/>
      <c r="BJ36" s="163"/>
      <c r="BK36" s="163"/>
      <c r="BL36" s="543" t="str">
        <f>G34</f>
        <v/>
      </c>
    </row>
    <row r="37" spans="1:64" ht="30" customHeight="1" thickBot="1">
      <c r="A37" s="1227"/>
      <c r="B37" s="1376"/>
      <c r="C37" s="1397"/>
      <c r="D37" s="1377"/>
      <c r="E37" s="1377"/>
      <c r="F37" s="1378"/>
      <c r="G37" s="1267"/>
      <c r="H37" s="1267"/>
      <c r="I37" s="1267"/>
      <c r="J37" s="1373"/>
      <c r="K37" s="1267"/>
      <c r="L37" s="1248"/>
      <c r="M37" s="1375"/>
      <c r="N37" s="650" t="str">
        <f>IF('別紙様式2-2（４・５月分）'!Q31="","",'別紙様式2-2（４・５月分）'!Q31)</f>
        <v/>
      </c>
      <c r="O37" s="1369"/>
      <c r="P37" s="1391"/>
      <c r="Q37" s="1387"/>
      <c r="R37" s="1389"/>
      <c r="S37" s="1395"/>
      <c r="T37" s="1460"/>
      <c r="U37" s="1462"/>
      <c r="V37" s="1464"/>
      <c r="W37" s="1466"/>
      <c r="X37" s="1406"/>
      <c r="Y37" s="1408"/>
      <c r="Z37" s="1406"/>
      <c r="AA37" s="1408"/>
      <c r="AB37" s="1406"/>
      <c r="AC37" s="1408"/>
      <c r="AD37" s="1406"/>
      <c r="AE37" s="1408"/>
      <c r="AF37" s="1408"/>
      <c r="AG37" s="1408"/>
      <c r="AH37" s="1410"/>
      <c r="AI37" s="1497"/>
      <c r="AJ37" s="1470"/>
      <c r="AK37" s="1495"/>
      <c r="AL37" s="1436"/>
      <c r="AM37" s="1499"/>
      <c r="AN37" s="1357"/>
      <c r="AO37" s="1357"/>
      <c r="AP37" s="1359"/>
      <c r="AQ37" s="1357"/>
      <c r="AR37" s="1345"/>
      <c r="AS37" s="1357"/>
      <c r="AT37" s="581" t="str">
        <f t="shared" ref="AT37" si="21">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51"/>
      <c r="AV37" s="1493"/>
      <c r="AW37" s="652" t="str">
        <f>IF('別紙様式2-2（４・５月分）'!O31="","",'別紙様式2-2（４・５月分）'!O31)</f>
        <v/>
      </c>
      <c r="AX37" s="1522"/>
      <c r="AY37" s="163"/>
      <c r="AZ37" s="163"/>
      <c r="BA37" s="163"/>
      <c r="BB37" s="163"/>
      <c r="BC37" s="163"/>
      <c r="BD37" s="163"/>
      <c r="BE37" s="163"/>
      <c r="BF37" s="163"/>
      <c r="BG37" s="163"/>
      <c r="BH37" s="163"/>
      <c r="BI37" s="163"/>
      <c r="BJ37" s="163"/>
      <c r="BK37" s="163"/>
      <c r="BL37" s="543" t="str">
        <f>G34</f>
        <v/>
      </c>
    </row>
    <row r="38" spans="1:64" ht="30" customHeight="1">
      <c r="A38" s="1225">
        <v>7</v>
      </c>
      <c r="B38" s="1271" t="str">
        <f>IF(基本情報入力シート!C60="","",基本情報入力シート!C60)</f>
        <v/>
      </c>
      <c r="C38" s="1259"/>
      <c r="D38" s="1259"/>
      <c r="E38" s="1259"/>
      <c r="F38" s="1260"/>
      <c r="G38" s="1265" t="str">
        <f>IF(基本情報入力シート!M60="","",基本情報入力シート!M60)</f>
        <v/>
      </c>
      <c r="H38" s="1265" t="str">
        <f>IF(基本情報入力シート!R60="","",基本情報入力シート!R60)</f>
        <v/>
      </c>
      <c r="I38" s="1265" t="str">
        <f>IF(基本情報入力シート!W60="","",基本情報入力シート!W60)</f>
        <v/>
      </c>
      <c r="J38" s="1379" t="str">
        <f>IF(基本情報入力シート!X60="","",基本情報入力シート!X60)</f>
        <v/>
      </c>
      <c r="K38" s="1265" t="str">
        <f>IF(基本情報入力シート!Y60="","",基本情報入力シート!Y60)</f>
        <v/>
      </c>
      <c r="L38" s="1246" t="str">
        <f>IF(基本情報入力シート!AB60="","",基本情報入力シート!AB60)</f>
        <v/>
      </c>
      <c r="M38" s="1249" t="str">
        <f>IF(基本情報入力シート!AC60="","",基本情報入力シート!AC60)</f>
        <v/>
      </c>
      <c r="N38" s="647" t="str">
        <f>IF('別紙様式2-2（４・５月分）'!Q32="","",'別紙様式2-2（４・５月分）'!Q32)</f>
        <v/>
      </c>
      <c r="O38" s="1366" t="str">
        <f>IF(SUM('別紙様式2-2（４・５月分）'!R32:R34)=0,"",SUM('別紙様式2-2（４・５月分）'!R32:R34))</f>
        <v/>
      </c>
      <c r="P38" s="1380" t="str">
        <f>IFERROR(VLOOKUP('別紙様式2-2（４・５月分）'!AR32,【参考】数式用!$AT$5:$AU$22,2,FALSE),"")</f>
        <v/>
      </c>
      <c r="Q38" s="1381"/>
      <c r="R38" s="1382"/>
      <c r="S38" s="1392" t="str">
        <f>IFERROR(VLOOKUP(K38,【参考】数式用!$A$5:$AB$27,MATCH(P38,【参考】数式用!$B$4:$AB$4,0)+1,0),"")</f>
        <v/>
      </c>
      <c r="T38" s="1413" t="s">
        <v>2173</v>
      </c>
      <c r="U38" s="1415"/>
      <c r="V38" s="1457" t="str">
        <f>IFERROR(VLOOKUP(K38,【参考】数式用!$A$5:$AB$27,MATCH(U38,【参考】数式用!$B$4:$AB$4,0)+1,0),"")</f>
        <v/>
      </c>
      <c r="W38" s="1350" t="s">
        <v>19</v>
      </c>
      <c r="X38" s="1352">
        <v>6</v>
      </c>
      <c r="Y38" s="1354" t="s">
        <v>10</v>
      </c>
      <c r="Z38" s="1352">
        <v>6</v>
      </c>
      <c r="AA38" s="1354" t="s">
        <v>45</v>
      </c>
      <c r="AB38" s="1352">
        <v>7</v>
      </c>
      <c r="AC38" s="1354" t="s">
        <v>10</v>
      </c>
      <c r="AD38" s="1352">
        <v>3</v>
      </c>
      <c r="AE38" s="1354" t="s">
        <v>13</v>
      </c>
      <c r="AF38" s="1354" t="s">
        <v>24</v>
      </c>
      <c r="AG38" s="1354">
        <f>IF(X38&gt;=1,(AB38*12+AD38)-(X38*12+Z38)+1,"")</f>
        <v>10</v>
      </c>
      <c r="AH38" s="1360" t="s">
        <v>38</v>
      </c>
      <c r="AI38" s="1481" t="str">
        <f>IFERROR(ROUNDDOWN(ROUND(L38*V38,0)*M38,0)*AG38,"")</f>
        <v/>
      </c>
      <c r="AJ38" s="1483" t="str">
        <f>IFERROR(ROUNDDOWN(ROUND((L38*(V38-AX38)),0)*M38,0)*AG38,"")</f>
        <v/>
      </c>
      <c r="AK38" s="1485">
        <f>IFERROR(IF(OR(N38="",N39="",N41=""),0,ROUNDDOWN(ROUNDDOWN(ROUND(L38*VLOOKUP(K38,【参考】数式用!$A$5:$AB$27,MATCH("新加算Ⅳ",【参考】数式用!$B$4:$AB$4,0)+1,0),0)*M38,0)*AG38*0.5,0)),"")</f>
        <v>0</v>
      </c>
      <c r="AL38" s="1433"/>
      <c r="AM38" s="1487">
        <f>IFERROR(IF(OR(N41="ベア加算",N41=""),0, IF(OR(U38="新加算Ⅰ",U38="新加算Ⅱ",U38="新加算Ⅲ",U38="新加算Ⅳ"),ROUNDDOWN(ROUND(L38*VLOOKUP(K38,【参考】数式用!$A$5:$I$27,MATCH("ベア加算",【参考】数式用!$B$4:$I$4,0)+1,0),0)*M38,0)*AG38,0)),"")</f>
        <v>0</v>
      </c>
      <c r="AN38" s="1502"/>
      <c r="AO38" s="1364"/>
      <c r="AP38" s="1403"/>
      <c r="AQ38" s="1403"/>
      <c r="AR38" s="1489"/>
      <c r="AS38" s="1491"/>
      <c r="AT38" s="556" t="str">
        <f t="shared" si="0"/>
        <v/>
      </c>
      <c r="AU38" s="651"/>
      <c r="AV38" s="1493" t="str">
        <f>IF(K38&lt;&gt;"","V列に色付け","")</f>
        <v/>
      </c>
      <c r="AW38" s="652" t="str">
        <f>IF('別紙様式2-2（４・５月分）'!O32="","",'別紙様式2-2（４・５月分）'!O32)</f>
        <v/>
      </c>
      <c r="AX38" s="1507" t="str">
        <f>IF(SUM('別紙様式2-2（４・５月分）'!P32:P34)=0,"",SUM('別紙様式2-2（４・５月分）'!P32:P34))</f>
        <v/>
      </c>
      <c r="AY38" s="1506" t="str">
        <f>IFERROR(VLOOKUP(K38,【参考】数式用!$AJ$2:$AK$24,2,FALSE),"")</f>
        <v/>
      </c>
      <c r="AZ38" s="1321" t="s">
        <v>2098</v>
      </c>
      <c r="BA38" s="1321" t="s">
        <v>2099</v>
      </c>
      <c r="BB38" s="1321" t="s">
        <v>2100</v>
      </c>
      <c r="BC38" s="1321" t="s">
        <v>2101</v>
      </c>
      <c r="BD38" s="1321" t="str">
        <f>IF(AND(P38&lt;&gt;"新加算Ⅰ",P38&lt;&gt;"新加算Ⅱ",P38&lt;&gt;"新加算Ⅲ",P38&lt;&gt;"新加算Ⅳ"),P38,IF(Q40&lt;&gt;"",Q40,""))</f>
        <v/>
      </c>
      <c r="BE38" s="1321"/>
      <c r="BF38" s="1321" t="str">
        <f t="shared" ref="BF38" si="22">IF(AM38&lt;&gt;0,IF(AN38="○","入力済","未入力"),"")</f>
        <v/>
      </c>
      <c r="BG38" s="1321"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
      </c>
      <c r="BH38" s="1321" t="str">
        <f>IF(OR(U38="新加算Ⅴ（７）",U38="新加算Ⅴ（９）",U38="新加算Ⅴ（10）",U38="新加算Ⅴ（12）",U38="新加算Ⅴ（13）",U38="新加算Ⅴ（14）"),IF(OR(AP38="○",AP38="令和６年度中に満たす"),"入力済","未入力"),"")</f>
        <v/>
      </c>
      <c r="BI38" s="1321" t="str">
        <f>IF(OR(U38="新加算Ⅰ",U38="新加算Ⅱ",U38="新加算Ⅲ",U38="新加算Ⅴ（１）",U38="新加算Ⅴ（３）",U38="新加算Ⅴ（８）"),IF(OR(AQ38="○",AQ38="令和６年度中に満たす"),"入力済","未入力"),"")</f>
        <v/>
      </c>
      <c r="BJ38" s="1512"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493" t="str">
        <f>IF(OR(U38="新加算Ⅰ",U38="新加算Ⅴ（１）",U38="新加算Ⅴ（２）",U38="新加算Ⅴ（５）",U38="新加算Ⅴ（７）",U38="新加算Ⅴ（10）"),IF(AS38="","未入力","入力済"),"")</f>
        <v/>
      </c>
      <c r="BL38" s="543" t="str">
        <f>G38</f>
        <v/>
      </c>
    </row>
    <row r="39" spans="1:64" ht="15" customHeight="1">
      <c r="A39" s="1226"/>
      <c r="B39" s="1272"/>
      <c r="C39" s="1261"/>
      <c r="D39" s="1261"/>
      <c r="E39" s="1261"/>
      <c r="F39" s="1262"/>
      <c r="G39" s="1266"/>
      <c r="H39" s="1266"/>
      <c r="I39" s="1266"/>
      <c r="J39" s="1372"/>
      <c r="K39" s="1266"/>
      <c r="L39" s="1247"/>
      <c r="M39" s="1250"/>
      <c r="N39" s="1370" t="str">
        <f>IF('別紙様式2-2（４・５月分）'!Q33="","",'別紙様式2-2（４・５月分）'!Q33)</f>
        <v/>
      </c>
      <c r="O39" s="1367"/>
      <c r="P39" s="1383"/>
      <c r="Q39" s="1384"/>
      <c r="R39" s="1385"/>
      <c r="S39" s="1393"/>
      <c r="T39" s="1414"/>
      <c r="U39" s="1416"/>
      <c r="V39" s="1458"/>
      <c r="W39" s="1351"/>
      <c r="X39" s="1353"/>
      <c r="Y39" s="1355"/>
      <c r="Z39" s="1353"/>
      <c r="AA39" s="1355"/>
      <c r="AB39" s="1353"/>
      <c r="AC39" s="1355"/>
      <c r="AD39" s="1353"/>
      <c r="AE39" s="1355"/>
      <c r="AF39" s="1355"/>
      <c r="AG39" s="1355"/>
      <c r="AH39" s="1361"/>
      <c r="AI39" s="1482"/>
      <c r="AJ39" s="1484"/>
      <c r="AK39" s="1486"/>
      <c r="AL39" s="1434"/>
      <c r="AM39" s="1488"/>
      <c r="AN39" s="1503"/>
      <c r="AO39" s="1365"/>
      <c r="AP39" s="1404"/>
      <c r="AQ39" s="1404"/>
      <c r="AR39" s="1490"/>
      <c r="AS39" s="1492"/>
      <c r="AT39" s="1331" t="str">
        <f t="shared" si="2"/>
        <v/>
      </c>
      <c r="AU39" s="651"/>
      <c r="AV39" s="1493"/>
      <c r="AW39" s="1518" t="str">
        <f>IF('別紙様式2-2（４・５月分）'!O33="","",'別紙様式2-2（４・５月分）'!O33)</f>
        <v/>
      </c>
      <c r="AX39" s="1507"/>
      <c r="AY39" s="1506"/>
      <c r="AZ39" s="1321"/>
      <c r="BA39" s="1321"/>
      <c r="BB39" s="1321"/>
      <c r="BC39" s="1321"/>
      <c r="BD39" s="1321"/>
      <c r="BE39" s="1321"/>
      <c r="BF39" s="1321"/>
      <c r="BG39" s="1321"/>
      <c r="BH39" s="1321"/>
      <c r="BI39" s="1321"/>
      <c r="BJ39" s="1512"/>
      <c r="BK39" s="1493"/>
      <c r="BL39" s="543" t="str">
        <f>G38</f>
        <v/>
      </c>
    </row>
    <row r="40" spans="1:64" ht="15" customHeight="1">
      <c r="A40" s="1240"/>
      <c r="B40" s="1272"/>
      <c r="C40" s="1261"/>
      <c r="D40" s="1261"/>
      <c r="E40" s="1261"/>
      <c r="F40" s="1262"/>
      <c r="G40" s="1266"/>
      <c r="H40" s="1266"/>
      <c r="I40" s="1266"/>
      <c r="J40" s="1372"/>
      <c r="K40" s="1266"/>
      <c r="L40" s="1247"/>
      <c r="M40" s="1250"/>
      <c r="N40" s="1371"/>
      <c r="O40" s="1368"/>
      <c r="P40" s="1390" t="s">
        <v>2179</v>
      </c>
      <c r="Q40" s="1386" t="str">
        <f>IFERROR(VLOOKUP('別紙様式2-2（４・５月分）'!AR32,【参考】数式用!$AT$5:$AV$22,3,FALSE),"")</f>
        <v/>
      </c>
      <c r="R40" s="1388" t="s">
        <v>2190</v>
      </c>
      <c r="S40" s="1396" t="str">
        <f>IFERROR(VLOOKUP(K38,【参考】数式用!$A$5:$AB$27,MATCH(Q40,【参考】数式用!$B$4:$AB$4,0)+1,0),"")</f>
        <v/>
      </c>
      <c r="T40" s="1459" t="s">
        <v>217</v>
      </c>
      <c r="U40" s="1461"/>
      <c r="V40" s="1463" t="str">
        <f>IFERROR(VLOOKUP(K38,【参考】数式用!$A$5:$AB$27,MATCH(U40,【参考】数式用!$B$4:$AB$4,0)+1,0),"")</f>
        <v/>
      </c>
      <c r="W40" s="1465" t="s">
        <v>19</v>
      </c>
      <c r="X40" s="1508">
        <v>7</v>
      </c>
      <c r="Y40" s="1407" t="s">
        <v>10</v>
      </c>
      <c r="Z40" s="1508">
        <v>4</v>
      </c>
      <c r="AA40" s="1407" t="s">
        <v>45</v>
      </c>
      <c r="AB40" s="1508">
        <v>8</v>
      </c>
      <c r="AC40" s="1407" t="s">
        <v>10</v>
      </c>
      <c r="AD40" s="1508">
        <v>3</v>
      </c>
      <c r="AE40" s="1407" t="s">
        <v>13</v>
      </c>
      <c r="AF40" s="1407" t="s">
        <v>24</v>
      </c>
      <c r="AG40" s="1407">
        <f>IF(X40&gt;=1,(AB40*12+AD40)-(X40*12+Z40)+1,"")</f>
        <v>12</v>
      </c>
      <c r="AH40" s="1409" t="s">
        <v>38</v>
      </c>
      <c r="AI40" s="1496" t="str">
        <f>IFERROR(ROUNDDOWN(ROUND(L38*V40,0)*M38,0)*AG40,"")</f>
        <v/>
      </c>
      <c r="AJ40" s="1510" t="str">
        <f>IFERROR(ROUNDDOWN(ROUND((L38*(V40-AX38)),0)*M38,0)*AG40,"")</f>
        <v/>
      </c>
      <c r="AK40" s="1494">
        <f>IFERROR(IF(OR(N38="",N39="",N41=""),0,ROUNDDOWN(ROUNDDOWN(ROUND(L38*VLOOKUP(K38,【参考】数式用!$A$5:$AB$27,MATCH("新加算Ⅳ",【参考】数式用!$B$4:$AB$4,0)+1,0),0)*M38,0)*AG40*0.5,0)),"")</f>
        <v>0</v>
      </c>
      <c r="AL40" s="1435" t="str">
        <f t="shared" ref="AL40" si="23">IF(U40&lt;&gt;"","新規に適用","")</f>
        <v/>
      </c>
      <c r="AM40" s="1498">
        <f>IFERROR(IF(OR(N41="ベア加算",N41=""),0, IF(OR(U38="新加算Ⅰ",U38="新加算Ⅱ",U38="新加算Ⅲ",U38="新加算Ⅳ"),0,ROUNDDOWN(ROUND(L38*VLOOKUP(K38,【参考】数式用!$A$5:$I$27,MATCH("ベア加算",【参考】数式用!$B$4:$I$4,0)+1,0),0)*M38,0)*AG40)),"")</f>
        <v>0</v>
      </c>
      <c r="AN40" s="1356" t="str">
        <f t="shared" ref="AN40" si="24">IF(AM40=0,"",IF(AND(U40&lt;&gt;"",AN38=""),"新規に適用",IF(AND(U40&lt;&gt;"",AN38&lt;&gt;""),"継続で適用","")))</f>
        <v/>
      </c>
      <c r="AO40" s="1356" t="str">
        <f>IF(AND(U40&lt;&gt;"",AO38=""),"新規に適用",IF(AND(U40&lt;&gt;"",AO38&lt;&gt;""),"継続で適用",""))</f>
        <v/>
      </c>
      <c r="AP40" s="1358"/>
      <c r="AQ40" s="1356" t="str">
        <f>IF(AND(U40&lt;&gt;"",AQ38=""),"新規に適用",IF(AND(U40&lt;&gt;"",AQ38&lt;&gt;""),"継続で適用",""))</f>
        <v/>
      </c>
      <c r="AR40" s="1344" t="str">
        <f t="shared" ref="AR40:AR100" si="25">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56" t="str">
        <f>IF(AND(U40&lt;&gt;"",AS38=""),"新規に適用",IF(AND(U40&lt;&gt;"",AS38&lt;&gt;""),"継続で適用",""))</f>
        <v/>
      </c>
      <c r="AT40" s="1331"/>
      <c r="AU40" s="651"/>
      <c r="AV40" s="1493" t="str">
        <f>IF(K38&lt;&gt;"","V列に色付け","")</f>
        <v/>
      </c>
      <c r="AW40" s="1518"/>
      <c r="AX40" s="1507"/>
      <c r="AY40" s="163"/>
      <c r="AZ40" s="163"/>
      <c r="BA40" s="163"/>
      <c r="BB40" s="163"/>
      <c r="BC40" s="163"/>
      <c r="BD40" s="163"/>
      <c r="BE40" s="163"/>
      <c r="BF40" s="163"/>
      <c r="BG40" s="163"/>
      <c r="BH40" s="163"/>
      <c r="BI40" s="163"/>
      <c r="BJ40" s="163"/>
      <c r="BK40" s="163"/>
      <c r="BL40" s="543" t="str">
        <f>G38</f>
        <v/>
      </c>
    </row>
    <row r="41" spans="1:64" ht="30" customHeight="1" thickBot="1">
      <c r="A41" s="1227"/>
      <c r="B41" s="1376"/>
      <c r="C41" s="1377"/>
      <c r="D41" s="1377"/>
      <c r="E41" s="1377"/>
      <c r="F41" s="1378"/>
      <c r="G41" s="1267"/>
      <c r="H41" s="1267"/>
      <c r="I41" s="1267"/>
      <c r="J41" s="1373"/>
      <c r="K41" s="1267"/>
      <c r="L41" s="1248"/>
      <c r="M41" s="1251"/>
      <c r="N41" s="650" t="str">
        <f>IF('別紙様式2-2（４・５月分）'!Q34="","",'別紙様式2-2（４・５月分）'!Q34)</f>
        <v/>
      </c>
      <c r="O41" s="1369"/>
      <c r="P41" s="1391"/>
      <c r="Q41" s="1387"/>
      <c r="R41" s="1389"/>
      <c r="S41" s="1395"/>
      <c r="T41" s="1460"/>
      <c r="U41" s="1462"/>
      <c r="V41" s="1464"/>
      <c r="W41" s="1466"/>
      <c r="X41" s="1509"/>
      <c r="Y41" s="1408"/>
      <c r="Z41" s="1509"/>
      <c r="AA41" s="1408"/>
      <c r="AB41" s="1509"/>
      <c r="AC41" s="1408"/>
      <c r="AD41" s="1509"/>
      <c r="AE41" s="1408"/>
      <c r="AF41" s="1408"/>
      <c r="AG41" s="1408"/>
      <c r="AH41" s="1410"/>
      <c r="AI41" s="1497"/>
      <c r="AJ41" s="1511"/>
      <c r="AK41" s="1495"/>
      <c r="AL41" s="1436"/>
      <c r="AM41" s="1499"/>
      <c r="AN41" s="1357"/>
      <c r="AO41" s="1357"/>
      <c r="AP41" s="1359"/>
      <c r="AQ41" s="1357"/>
      <c r="AR41" s="1345"/>
      <c r="AS41" s="1357"/>
      <c r="AT41" s="581" t="str">
        <f t="shared" ref="AT41" si="26">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51"/>
      <c r="AV41" s="1493"/>
      <c r="AW41" s="652" t="str">
        <f>IF('別紙様式2-2（４・５月分）'!O34="","",'別紙様式2-2（４・５月分）'!O34)</f>
        <v/>
      </c>
      <c r="AX41" s="1507"/>
      <c r="AY41" s="163"/>
      <c r="AZ41" s="163"/>
      <c r="BA41" s="163"/>
      <c r="BB41" s="163"/>
      <c r="BC41" s="163"/>
      <c r="BD41" s="163"/>
      <c r="BE41" s="163"/>
      <c r="BF41" s="163"/>
      <c r="BG41" s="163"/>
      <c r="BH41" s="163"/>
      <c r="BI41" s="163"/>
      <c r="BJ41" s="163"/>
      <c r="BK41" s="163"/>
      <c r="BL41" s="543" t="str">
        <f>G38</f>
        <v/>
      </c>
    </row>
    <row r="42" spans="1:64" ht="30" customHeight="1">
      <c r="A42" s="1241">
        <v>8</v>
      </c>
      <c r="B42" s="1272" t="str">
        <f>IF(基本情報入力シート!C61="","",基本情報入力シート!C61)</f>
        <v/>
      </c>
      <c r="C42" s="1261"/>
      <c r="D42" s="1261"/>
      <c r="E42" s="1261"/>
      <c r="F42" s="1262"/>
      <c r="G42" s="1266" t="str">
        <f>IF(基本情報入力シート!M61="","",基本情報入力シート!M61)</f>
        <v/>
      </c>
      <c r="H42" s="1266" t="str">
        <f>IF(基本情報入力シート!R61="","",基本情報入力シート!R61)</f>
        <v/>
      </c>
      <c r="I42" s="1266" t="str">
        <f>IF(基本情報入力シート!W61="","",基本情報入力シート!W61)</f>
        <v/>
      </c>
      <c r="J42" s="1372" t="str">
        <f>IF(基本情報入力シート!X61="","",基本情報入力シート!X61)</f>
        <v/>
      </c>
      <c r="K42" s="1266" t="str">
        <f>IF(基本情報入力シート!Y61="","",基本情報入力シート!Y61)</f>
        <v/>
      </c>
      <c r="L42" s="1247" t="str">
        <f>IF(基本情報入力シート!AB61="","",基本情報入力シート!AB61)</f>
        <v/>
      </c>
      <c r="M42" s="1374" t="str">
        <f>IF(基本情報入力シート!AC61="","",基本情報入力シート!AC61)</f>
        <v/>
      </c>
      <c r="N42" s="647" t="str">
        <f>IF('別紙様式2-2（４・５月分）'!Q35="","",'別紙様式2-2（４・５月分）'!Q35)</f>
        <v/>
      </c>
      <c r="O42" s="1366" t="str">
        <f>IF(SUM('別紙様式2-2（４・５月分）'!R35:R37)=0,"",SUM('別紙様式2-2（４・５月分）'!R35:R37))</f>
        <v/>
      </c>
      <c r="P42" s="1380" t="str">
        <f>IFERROR(VLOOKUP('別紙様式2-2（４・５月分）'!AR35,【参考】数式用!$AT$5:$AU$22,2,FALSE),"")</f>
        <v/>
      </c>
      <c r="Q42" s="1381"/>
      <c r="R42" s="1382"/>
      <c r="S42" s="1392" t="str">
        <f>IFERROR(VLOOKUP(K42,【参考】数式用!$A$5:$AB$27,MATCH(P42,【参考】数式用!$B$4:$AB$4,0)+1,0),"")</f>
        <v/>
      </c>
      <c r="T42" s="1413" t="s">
        <v>2173</v>
      </c>
      <c r="U42" s="1415"/>
      <c r="V42" s="1457" t="str">
        <f>IFERROR(VLOOKUP(K42,【参考】数式用!$A$5:$AB$27,MATCH(U42,【参考】数式用!$B$4:$AB$4,0)+1,0),"")</f>
        <v/>
      </c>
      <c r="W42" s="1350" t="s">
        <v>19</v>
      </c>
      <c r="X42" s="1352">
        <v>6</v>
      </c>
      <c r="Y42" s="1354" t="s">
        <v>10</v>
      </c>
      <c r="Z42" s="1352">
        <v>6</v>
      </c>
      <c r="AA42" s="1354" t="s">
        <v>45</v>
      </c>
      <c r="AB42" s="1352">
        <v>7</v>
      </c>
      <c r="AC42" s="1354" t="s">
        <v>10</v>
      </c>
      <c r="AD42" s="1352">
        <v>3</v>
      </c>
      <c r="AE42" s="1354" t="s">
        <v>13</v>
      </c>
      <c r="AF42" s="1354" t="s">
        <v>24</v>
      </c>
      <c r="AG42" s="1354">
        <f>IF(X42&gt;=1,(AB42*12+AD42)-(X42*12+Z42)+1,"")</f>
        <v>10</v>
      </c>
      <c r="AH42" s="1360" t="s">
        <v>38</v>
      </c>
      <c r="AI42" s="1481" t="str">
        <f>IFERROR(ROUNDDOWN(ROUND(L42*V42,0)*M42,0)*AG42,"")</f>
        <v/>
      </c>
      <c r="AJ42" s="1483" t="str">
        <f>IFERROR(ROUNDDOWN(ROUND((L42*(V42-AX42)),0)*M42,0)*AG42,"")</f>
        <v/>
      </c>
      <c r="AK42" s="1485">
        <f>IFERROR(IF(OR(N42="",N43="",N45=""),0,ROUNDDOWN(ROUNDDOWN(ROUND(L42*VLOOKUP(K42,【参考】数式用!$A$5:$AB$27,MATCH("新加算Ⅳ",【参考】数式用!$B$4:$AB$4,0)+1,0),0)*M42,0)*AG42*0.5,0)),"")</f>
        <v>0</v>
      </c>
      <c r="AL42" s="1433"/>
      <c r="AM42" s="1487">
        <f>IFERROR(IF(OR(N45="ベア加算",N45=""),0, IF(OR(U42="新加算Ⅰ",U42="新加算Ⅱ",U42="新加算Ⅲ",U42="新加算Ⅳ"),ROUNDDOWN(ROUND(L42*VLOOKUP(K42,【参考】数式用!$A$5:$I$27,MATCH("ベア加算",【参考】数式用!$B$4:$I$4,0)+1,0),0)*M42,0)*AG42,0)),"")</f>
        <v>0</v>
      </c>
      <c r="AN42" s="1502"/>
      <c r="AO42" s="1364"/>
      <c r="AP42" s="1403"/>
      <c r="AQ42" s="1403"/>
      <c r="AR42" s="1489"/>
      <c r="AS42" s="1491"/>
      <c r="AT42" s="556" t="str">
        <f t="shared" si="0"/>
        <v/>
      </c>
      <c r="AU42" s="651"/>
      <c r="AV42" s="1493" t="str">
        <f>IF(K42&lt;&gt;"","V列に色付け","")</f>
        <v/>
      </c>
      <c r="AW42" s="652" t="str">
        <f>IF('別紙様式2-2（４・５月分）'!O35="","",'別紙様式2-2（４・５月分）'!O35)</f>
        <v/>
      </c>
      <c r="AX42" s="1507" t="str">
        <f>IF(SUM('別紙様式2-2（４・５月分）'!P35:P37)=0,"",SUM('別紙様式2-2（４・５月分）'!P35:P37))</f>
        <v/>
      </c>
      <c r="AY42" s="1506" t="str">
        <f>IFERROR(VLOOKUP(K42,【参考】数式用!$AJ$2:$AK$24,2,FALSE),"")</f>
        <v/>
      </c>
      <c r="AZ42" s="1321" t="s">
        <v>2098</v>
      </c>
      <c r="BA42" s="1321" t="s">
        <v>2099</v>
      </c>
      <c r="BB42" s="1321" t="s">
        <v>2100</v>
      </c>
      <c r="BC42" s="1321" t="s">
        <v>2101</v>
      </c>
      <c r="BD42" s="1321" t="str">
        <f>IF(AND(P42&lt;&gt;"新加算Ⅰ",P42&lt;&gt;"新加算Ⅱ",P42&lt;&gt;"新加算Ⅲ",P42&lt;&gt;"新加算Ⅳ"),P42,IF(Q44&lt;&gt;"",Q44,""))</f>
        <v/>
      </c>
      <c r="BE42" s="1321"/>
      <c r="BF42" s="1321" t="str">
        <f t="shared" ref="BF42" si="27">IF(AM42&lt;&gt;0,IF(AN42="○","入力済","未入力"),"")</f>
        <v/>
      </c>
      <c r="BG42" s="1321"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321" t="str">
        <f>IF(OR(U42="新加算Ⅴ（７）",U42="新加算Ⅴ（９）",U42="新加算Ⅴ（10）",U42="新加算Ⅴ（12）",U42="新加算Ⅴ（13）",U42="新加算Ⅴ（14）"),IF(OR(AP42="○",AP42="令和６年度中に満たす"),"入力済","未入力"),"")</f>
        <v/>
      </c>
      <c r="BI42" s="1321" t="str">
        <f>IF(OR(U42="新加算Ⅰ",U42="新加算Ⅱ",U42="新加算Ⅲ",U42="新加算Ⅴ（１）",U42="新加算Ⅴ（３）",U42="新加算Ⅴ（８）"),IF(OR(AQ42="○",AQ42="令和６年度中に満たす"),"入力済","未入力"),"")</f>
        <v/>
      </c>
      <c r="BJ42" s="1512"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493" t="str">
        <f>IF(OR(U42="新加算Ⅰ",U42="新加算Ⅴ（１）",U42="新加算Ⅴ（２）",U42="新加算Ⅴ（５）",U42="新加算Ⅴ（７）",U42="新加算Ⅴ（10）"),IF(AS42="","未入力","入力済"),"")</f>
        <v/>
      </c>
      <c r="BL42" s="543" t="str">
        <f>G42</f>
        <v/>
      </c>
    </row>
    <row r="43" spans="1:64" ht="15" customHeight="1">
      <c r="A43" s="1226"/>
      <c r="B43" s="1272"/>
      <c r="C43" s="1261"/>
      <c r="D43" s="1261"/>
      <c r="E43" s="1261"/>
      <c r="F43" s="1262"/>
      <c r="G43" s="1266"/>
      <c r="H43" s="1266"/>
      <c r="I43" s="1266"/>
      <c r="J43" s="1372"/>
      <c r="K43" s="1266"/>
      <c r="L43" s="1247"/>
      <c r="M43" s="1374"/>
      <c r="N43" s="1370" t="str">
        <f>IF('別紙様式2-2（４・５月分）'!Q36="","",'別紙様式2-2（４・５月分）'!Q36)</f>
        <v/>
      </c>
      <c r="O43" s="1367"/>
      <c r="P43" s="1383"/>
      <c r="Q43" s="1384"/>
      <c r="R43" s="1385"/>
      <c r="S43" s="1393"/>
      <c r="T43" s="1414"/>
      <c r="U43" s="1416"/>
      <c r="V43" s="1458"/>
      <c r="W43" s="1351"/>
      <c r="X43" s="1353"/>
      <c r="Y43" s="1355"/>
      <c r="Z43" s="1353"/>
      <c r="AA43" s="1355"/>
      <c r="AB43" s="1353"/>
      <c r="AC43" s="1355"/>
      <c r="AD43" s="1353"/>
      <c r="AE43" s="1355"/>
      <c r="AF43" s="1355"/>
      <c r="AG43" s="1355"/>
      <c r="AH43" s="1361"/>
      <c r="AI43" s="1482"/>
      <c r="AJ43" s="1484"/>
      <c r="AK43" s="1486"/>
      <c r="AL43" s="1434"/>
      <c r="AM43" s="1488"/>
      <c r="AN43" s="1503"/>
      <c r="AO43" s="1365"/>
      <c r="AP43" s="1404"/>
      <c r="AQ43" s="1404"/>
      <c r="AR43" s="1490"/>
      <c r="AS43" s="1492"/>
      <c r="AT43" s="1331" t="str">
        <f t="shared" si="2"/>
        <v/>
      </c>
      <c r="AU43" s="651"/>
      <c r="AV43" s="1493"/>
      <c r="AW43" s="1518" t="str">
        <f>IF('別紙様式2-2（４・５月分）'!O36="","",'別紙様式2-2（４・５月分）'!O36)</f>
        <v/>
      </c>
      <c r="AX43" s="1507"/>
      <c r="AY43" s="1506"/>
      <c r="AZ43" s="1321"/>
      <c r="BA43" s="1321"/>
      <c r="BB43" s="1321"/>
      <c r="BC43" s="1321"/>
      <c r="BD43" s="1321"/>
      <c r="BE43" s="1321"/>
      <c r="BF43" s="1321"/>
      <c r="BG43" s="1321"/>
      <c r="BH43" s="1321"/>
      <c r="BI43" s="1321"/>
      <c r="BJ43" s="1512"/>
      <c r="BK43" s="1493"/>
      <c r="BL43" s="543" t="str">
        <f>G42</f>
        <v/>
      </c>
    </row>
    <row r="44" spans="1:64" ht="15" customHeight="1">
      <c r="A44" s="1240"/>
      <c r="B44" s="1272"/>
      <c r="C44" s="1261"/>
      <c r="D44" s="1261"/>
      <c r="E44" s="1261"/>
      <c r="F44" s="1262"/>
      <c r="G44" s="1266"/>
      <c r="H44" s="1266"/>
      <c r="I44" s="1266"/>
      <c r="J44" s="1372"/>
      <c r="K44" s="1266"/>
      <c r="L44" s="1247"/>
      <c r="M44" s="1374"/>
      <c r="N44" s="1371"/>
      <c r="O44" s="1368"/>
      <c r="P44" s="1390" t="s">
        <v>2179</v>
      </c>
      <c r="Q44" s="1386" t="str">
        <f>IFERROR(VLOOKUP('別紙様式2-2（４・５月分）'!AR35,【参考】数式用!$AT$5:$AV$22,3,FALSE),"")</f>
        <v/>
      </c>
      <c r="R44" s="1388" t="s">
        <v>2190</v>
      </c>
      <c r="S44" s="1394" t="str">
        <f>IFERROR(VLOOKUP(K42,【参考】数式用!$A$5:$AB$27,MATCH(Q44,【参考】数式用!$B$4:$AB$4,0)+1,0),"")</f>
        <v/>
      </c>
      <c r="T44" s="1459" t="s">
        <v>217</v>
      </c>
      <c r="U44" s="1461"/>
      <c r="V44" s="1463" t="str">
        <f>IFERROR(VLOOKUP(K42,【参考】数式用!$A$5:$AB$27,MATCH(U44,【参考】数式用!$B$4:$AB$4,0)+1,0),"")</f>
        <v/>
      </c>
      <c r="W44" s="1465" t="s">
        <v>19</v>
      </c>
      <c r="X44" s="1508">
        <v>7</v>
      </c>
      <c r="Y44" s="1407" t="s">
        <v>10</v>
      </c>
      <c r="Z44" s="1508">
        <v>4</v>
      </c>
      <c r="AA44" s="1407" t="s">
        <v>45</v>
      </c>
      <c r="AB44" s="1508">
        <v>8</v>
      </c>
      <c r="AC44" s="1407" t="s">
        <v>10</v>
      </c>
      <c r="AD44" s="1508">
        <v>3</v>
      </c>
      <c r="AE44" s="1407" t="s">
        <v>13</v>
      </c>
      <c r="AF44" s="1407" t="s">
        <v>24</v>
      </c>
      <c r="AG44" s="1407">
        <f>IF(X44&gt;=1,(AB44*12+AD44)-(X44*12+Z44)+1,"")</f>
        <v>12</v>
      </c>
      <c r="AH44" s="1409" t="s">
        <v>38</v>
      </c>
      <c r="AI44" s="1496" t="str">
        <f>IFERROR(ROUNDDOWN(ROUND(L42*V44,0)*M42,0)*AG44,"")</f>
        <v/>
      </c>
      <c r="AJ44" s="1510" t="str">
        <f>IFERROR(ROUNDDOWN(ROUND((L42*(V44-AX42)),0)*M42,0)*AG44,"")</f>
        <v/>
      </c>
      <c r="AK44" s="1494">
        <f>IFERROR(IF(OR(N42="",N43="",N45=""),0,ROUNDDOWN(ROUNDDOWN(ROUND(L42*VLOOKUP(K42,【参考】数式用!$A$5:$AB$27,MATCH("新加算Ⅳ",【参考】数式用!$B$4:$AB$4,0)+1,0),0)*M42,0)*AG44*0.5,0)),"")</f>
        <v>0</v>
      </c>
      <c r="AL44" s="1435" t="str">
        <f t="shared" ref="AL44" si="28">IF(U44&lt;&gt;"","新規に適用","")</f>
        <v/>
      </c>
      <c r="AM44" s="1498">
        <f>IFERROR(IF(OR(N45="ベア加算",N45=""),0, IF(OR(U42="新加算Ⅰ",U42="新加算Ⅱ",U42="新加算Ⅲ",U42="新加算Ⅳ"),0,ROUNDDOWN(ROUND(L42*VLOOKUP(K42,【参考】数式用!$A$5:$I$27,MATCH("ベア加算",【参考】数式用!$B$4:$I$4,0)+1,0),0)*M42,0)*AG44)),"")</f>
        <v>0</v>
      </c>
      <c r="AN44" s="1356" t="str">
        <f t="shared" ref="AN44" si="29">IF(AM44=0,"",IF(AND(U44&lt;&gt;"",AN42=""),"新規に適用",IF(AND(U44&lt;&gt;"",AN42&lt;&gt;""),"継続で適用","")))</f>
        <v/>
      </c>
      <c r="AO44" s="1356" t="str">
        <f>IF(AND(U44&lt;&gt;"",AO42=""),"新規に適用",IF(AND(U44&lt;&gt;"",AO42&lt;&gt;""),"継続で適用",""))</f>
        <v/>
      </c>
      <c r="AP44" s="1358"/>
      <c r="AQ44" s="1356" t="str">
        <f>IF(AND(U44&lt;&gt;"",AQ42=""),"新規に適用",IF(AND(U44&lt;&gt;"",AQ42&lt;&gt;""),"継続で適用",""))</f>
        <v/>
      </c>
      <c r="AR44" s="1344" t="str">
        <f t="shared" si="25"/>
        <v/>
      </c>
      <c r="AS44" s="1356" t="str">
        <f>IF(AND(U44&lt;&gt;"",AS42=""),"新規に適用",IF(AND(U44&lt;&gt;"",AS42&lt;&gt;""),"継続で適用",""))</f>
        <v/>
      </c>
      <c r="AT44" s="1331"/>
      <c r="AU44" s="651"/>
      <c r="AV44" s="1493" t="str">
        <f>IF(K42&lt;&gt;"","V列に色付け","")</f>
        <v/>
      </c>
      <c r="AW44" s="1518"/>
      <c r="AX44" s="1507"/>
      <c r="AY44" s="163"/>
      <c r="AZ44" s="163"/>
      <c r="BA44" s="163"/>
      <c r="BB44" s="163"/>
      <c r="BC44" s="163"/>
      <c r="BD44" s="163"/>
      <c r="BE44" s="163"/>
      <c r="BF44" s="163"/>
      <c r="BG44" s="163"/>
      <c r="BH44" s="163"/>
      <c r="BI44" s="163"/>
      <c r="BJ44" s="163"/>
      <c r="BK44" s="163"/>
      <c r="BL44" s="543" t="str">
        <f>G42</f>
        <v/>
      </c>
    </row>
    <row r="45" spans="1:64" ht="30" customHeight="1" thickBot="1">
      <c r="A45" s="1227"/>
      <c r="B45" s="1376"/>
      <c r="C45" s="1377"/>
      <c r="D45" s="1377"/>
      <c r="E45" s="1377"/>
      <c r="F45" s="1378"/>
      <c r="G45" s="1267"/>
      <c r="H45" s="1267"/>
      <c r="I45" s="1267"/>
      <c r="J45" s="1373"/>
      <c r="K45" s="1267"/>
      <c r="L45" s="1248"/>
      <c r="M45" s="1375"/>
      <c r="N45" s="650" t="str">
        <f>IF('別紙様式2-2（４・５月分）'!Q37="","",'別紙様式2-2（４・５月分）'!Q37)</f>
        <v/>
      </c>
      <c r="O45" s="1369"/>
      <c r="P45" s="1391"/>
      <c r="Q45" s="1387"/>
      <c r="R45" s="1389"/>
      <c r="S45" s="1395"/>
      <c r="T45" s="1460"/>
      <c r="U45" s="1462"/>
      <c r="V45" s="1464"/>
      <c r="W45" s="1466"/>
      <c r="X45" s="1509"/>
      <c r="Y45" s="1408"/>
      <c r="Z45" s="1509"/>
      <c r="AA45" s="1408"/>
      <c r="AB45" s="1509"/>
      <c r="AC45" s="1408"/>
      <c r="AD45" s="1509"/>
      <c r="AE45" s="1408"/>
      <c r="AF45" s="1408"/>
      <c r="AG45" s="1408"/>
      <c r="AH45" s="1410"/>
      <c r="AI45" s="1497"/>
      <c r="AJ45" s="1511"/>
      <c r="AK45" s="1495"/>
      <c r="AL45" s="1436"/>
      <c r="AM45" s="1499"/>
      <c r="AN45" s="1357"/>
      <c r="AO45" s="1357"/>
      <c r="AP45" s="1359"/>
      <c r="AQ45" s="1357"/>
      <c r="AR45" s="1345"/>
      <c r="AS45" s="1357"/>
      <c r="AT45" s="581" t="str">
        <f t="shared" ref="AT45" si="30">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51"/>
      <c r="AV45" s="1493"/>
      <c r="AW45" s="652" t="str">
        <f>IF('別紙様式2-2（４・５月分）'!O37="","",'別紙様式2-2（４・５月分）'!O37)</f>
        <v/>
      </c>
      <c r="AX45" s="1507"/>
      <c r="AY45" s="163"/>
      <c r="AZ45" s="163"/>
      <c r="BA45" s="163"/>
      <c r="BB45" s="163"/>
      <c r="BC45" s="163"/>
      <c r="BD45" s="163"/>
      <c r="BE45" s="163"/>
      <c r="BF45" s="163"/>
      <c r="BG45" s="163"/>
      <c r="BH45" s="163"/>
      <c r="BI45" s="163"/>
      <c r="BJ45" s="163"/>
      <c r="BK45" s="163"/>
      <c r="BL45" s="543" t="str">
        <f>G42</f>
        <v/>
      </c>
    </row>
    <row r="46" spans="1:64" ht="30" customHeight="1">
      <c r="A46" s="1225">
        <v>9</v>
      </c>
      <c r="B46" s="1271" t="str">
        <f>IF(基本情報入力シート!C62="","",基本情報入力シート!C62)</f>
        <v/>
      </c>
      <c r="C46" s="1259"/>
      <c r="D46" s="1259"/>
      <c r="E46" s="1259"/>
      <c r="F46" s="1260"/>
      <c r="G46" s="1265" t="str">
        <f>IF(基本情報入力シート!M62="","",基本情報入力シート!M62)</f>
        <v/>
      </c>
      <c r="H46" s="1265" t="str">
        <f>IF(基本情報入力シート!R62="","",基本情報入力シート!R62)</f>
        <v/>
      </c>
      <c r="I46" s="1265" t="str">
        <f>IF(基本情報入力シート!W62="","",基本情報入力シート!W62)</f>
        <v/>
      </c>
      <c r="J46" s="1379" t="str">
        <f>IF(基本情報入力シート!X62="","",基本情報入力シート!X62)</f>
        <v/>
      </c>
      <c r="K46" s="1265" t="str">
        <f>IF(基本情報入力シート!Y62="","",基本情報入力シート!Y62)</f>
        <v/>
      </c>
      <c r="L46" s="1246" t="str">
        <f>IF(基本情報入力シート!AB62="","",基本情報入力シート!AB62)</f>
        <v/>
      </c>
      <c r="M46" s="1249" t="str">
        <f>IF(基本情報入力シート!AC62="","",基本情報入力シート!AC62)</f>
        <v/>
      </c>
      <c r="N46" s="647" t="str">
        <f>IF('別紙様式2-2（４・５月分）'!Q38="","",'別紙様式2-2（４・５月分）'!Q38)</f>
        <v/>
      </c>
      <c r="O46" s="1366" t="str">
        <f>IF(SUM('別紙様式2-2（４・５月分）'!R38:R40)=0,"",SUM('別紙様式2-2（４・５月分）'!R38:R40))</f>
        <v/>
      </c>
      <c r="P46" s="1380" t="str">
        <f>IFERROR(VLOOKUP('別紙様式2-2（４・５月分）'!AR38,【参考】数式用!$AT$5:$AU$22,2,FALSE),"")</f>
        <v/>
      </c>
      <c r="Q46" s="1381"/>
      <c r="R46" s="1382"/>
      <c r="S46" s="1392" t="str">
        <f>IFERROR(VLOOKUP(K46,【参考】数式用!$A$5:$AB$27,MATCH(P46,【参考】数式用!$B$4:$AB$4,0)+1,0),"")</f>
        <v/>
      </c>
      <c r="T46" s="1413" t="s">
        <v>2173</v>
      </c>
      <c r="U46" s="1415"/>
      <c r="V46" s="1457" t="str">
        <f>IFERROR(VLOOKUP(K46,【参考】数式用!$A$5:$AB$27,MATCH(U46,【参考】数式用!$B$4:$AB$4,0)+1,0),"")</f>
        <v/>
      </c>
      <c r="W46" s="1350" t="s">
        <v>19</v>
      </c>
      <c r="X46" s="1352">
        <v>6</v>
      </c>
      <c r="Y46" s="1354" t="s">
        <v>10</v>
      </c>
      <c r="Z46" s="1352">
        <v>6</v>
      </c>
      <c r="AA46" s="1354" t="s">
        <v>45</v>
      </c>
      <c r="AB46" s="1352">
        <v>7</v>
      </c>
      <c r="AC46" s="1354" t="s">
        <v>10</v>
      </c>
      <c r="AD46" s="1352">
        <v>3</v>
      </c>
      <c r="AE46" s="1354" t="s">
        <v>13</v>
      </c>
      <c r="AF46" s="1354" t="s">
        <v>24</v>
      </c>
      <c r="AG46" s="1354">
        <f>IF(X46&gt;=1,(AB46*12+AD46)-(X46*12+Z46)+1,"")</f>
        <v>10</v>
      </c>
      <c r="AH46" s="1360" t="s">
        <v>38</v>
      </c>
      <c r="AI46" s="1481" t="str">
        <f>IFERROR(ROUNDDOWN(ROUND(L46*V46,0)*M46,0)*AG46,"")</f>
        <v/>
      </c>
      <c r="AJ46" s="1483" t="str">
        <f>IFERROR(ROUNDDOWN(ROUND((L46*(V46-AX46)),0)*M46,0)*AG46,"")</f>
        <v/>
      </c>
      <c r="AK46" s="1485">
        <f>IFERROR(IF(OR(N46="",N47="",N49=""),0,ROUNDDOWN(ROUNDDOWN(ROUND(L46*VLOOKUP(K46,【参考】数式用!$A$5:$AB$27,MATCH("新加算Ⅳ",【参考】数式用!$B$4:$AB$4,0)+1,0),0)*M46,0)*AG46*0.5,0)),"")</f>
        <v>0</v>
      </c>
      <c r="AL46" s="1433"/>
      <c r="AM46" s="1487">
        <f>IFERROR(IF(OR(N49="ベア加算",N49=""),0, IF(OR(U46="新加算Ⅰ",U46="新加算Ⅱ",U46="新加算Ⅲ",U46="新加算Ⅳ"),ROUNDDOWN(ROUND(L46*VLOOKUP(K46,【参考】数式用!$A$5:$I$27,MATCH("ベア加算",【参考】数式用!$B$4:$I$4,0)+1,0),0)*M46,0)*AG46,0)),"")</f>
        <v>0</v>
      </c>
      <c r="AN46" s="1502"/>
      <c r="AO46" s="1364"/>
      <c r="AP46" s="1403"/>
      <c r="AQ46" s="1403"/>
      <c r="AR46" s="1489"/>
      <c r="AS46" s="1491"/>
      <c r="AT46" s="556" t="str">
        <f t="shared" si="0"/>
        <v/>
      </c>
      <c r="AU46" s="651"/>
      <c r="AV46" s="1493" t="str">
        <f>IF(K46&lt;&gt;"","V列に色付け","")</f>
        <v/>
      </c>
      <c r="AW46" s="652" t="str">
        <f>IF('別紙様式2-2（４・５月分）'!O38="","",'別紙様式2-2（４・５月分）'!O38)</f>
        <v/>
      </c>
      <c r="AX46" s="1507" t="str">
        <f>IF(SUM('別紙様式2-2（４・５月分）'!P38:P40)=0,"",SUM('別紙様式2-2（４・５月分）'!P38:P40))</f>
        <v/>
      </c>
      <c r="AY46" s="1506" t="str">
        <f>IFERROR(VLOOKUP(K46,【参考】数式用!$AJ$2:$AK$24,2,FALSE),"")</f>
        <v/>
      </c>
      <c r="AZ46" s="1321" t="s">
        <v>2098</v>
      </c>
      <c r="BA46" s="1321" t="s">
        <v>2099</v>
      </c>
      <c r="BB46" s="1321" t="s">
        <v>2100</v>
      </c>
      <c r="BC46" s="1321" t="s">
        <v>2101</v>
      </c>
      <c r="BD46" s="1321" t="str">
        <f>IF(AND(P46&lt;&gt;"新加算Ⅰ",P46&lt;&gt;"新加算Ⅱ",P46&lt;&gt;"新加算Ⅲ",P46&lt;&gt;"新加算Ⅳ"),P46,IF(Q48&lt;&gt;"",Q48,""))</f>
        <v/>
      </c>
      <c r="BE46" s="1321"/>
      <c r="BF46" s="1321" t="str">
        <f t="shared" ref="BF46" si="31">IF(AM46&lt;&gt;0,IF(AN46="○","入力済","未入力"),"")</f>
        <v/>
      </c>
      <c r="BG46" s="1321"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321" t="str">
        <f>IF(OR(U46="新加算Ⅴ（７）",U46="新加算Ⅴ（９）",U46="新加算Ⅴ（10）",U46="新加算Ⅴ（12）",U46="新加算Ⅴ（13）",U46="新加算Ⅴ（14）"),IF(OR(AP46="○",AP46="令和６年度中に満たす"),"入力済","未入力"),"")</f>
        <v/>
      </c>
      <c r="BI46" s="1321" t="str">
        <f>IF(OR(U46="新加算Ⅰ",U46="新加算Ⅱ",U46="新加算Ⅲ",U46="新加算Ⅴ（１）",U46="新加算Ⅴ（３）",U46="新加算Ⅴ（８）"),IF(OR(AQ46="○",AQ46="令和６年度中に満たす"),"入力済","未入力"),"")</f>
        <v/>
      </c>
      <c r="BJ46" s="1512"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493" t="str">
        <f>IF(OR(U46="新加算Ⅰ",U46="新加算Ⅴ（１）",U46="新加算Ⅴ（２）",U46="新加算Ⅴ（５）",U46="新加算Ⅴ（７）",U46="新加算Ⅴ（10）"),IF(AS46="","未入力","入力済"),"")</f>
        <v/>
      </c>
      <c r="BL46" s="543" t="str">
        <f>G46</f>
        <v/>
      </c>
    </row>
    <row r="47" spans="1:64" ht="15" customHeight="1">
      <c r="A47" s="1226"/>
      <c r="B47" s="1272"/>
      <c r="C47" s="1261"/>
      <c r="D47" s="1261"/>
      <c r="E47" s="1261"/>
      <c r="F47" s="1262"/>
      <c r="G47" s="1266"/>
      <c r="H47" s="1266"/>
      <c r="I47" s="1266"/>
      <c r="J47" s="1372"/>
      <c r="K47" s="1266"/>
      <c r="L47" s="1247"/>
      <c r="M47" s="1250"/>
      <c r="N47" s="1370" t="str">
        <f>IF('別紙様式2-2（４・５月分）'!Q39="","",'別紙様式2-2（４・５月分）'!Q39)</f>
        <v/>
      </c>
      <c r="O47" s="1367"/>
      <c r="P47" s="1383"/>
      <c r="Q47" s="1384"/>
      <c r="R47" s="1385"/>
      <c r="S47" s="1393"/>
      <c r="T47" s="1414"/>
      <c r="U47" s="1416"/>
      <c r="V47" s="1458"/>
      <c r="W47" s="1351"/>
      <c r="X47" s="1353"/>
      <c r="Y47" s="1355"/>
      <c r="Z47" s="1353"/>
      <c r="AA47" s="1355"/>
      <c r="AB47" s="1353"/>
      <c r="AC47" s="1355"/>
      <c r="AD47" s="1353"/>
      <c r="AE47" s="1355"/>
      <c r="AF47" s="1355"/>
      <c r="AG47" s="1355"/>
      <c r="AH47" s="1361"/>
      <c r="AI47" s="1482"/>
      <c r="AJ47" s="1484"/>
      <c r="AK47" s="1486"/>
      <c r="AL47" s="1434"/>
      <c r="AM47" s="1488"/>
      <c r="AN47" s="1503"/>
      <c r="AO47" s="1365"/>
      <c r="AP47" s="1404"/>
      <c r="AQ47" s="1404"/>
      <c r="AR47" s="1490"/>
      <c r="AS47" s="1492"/>
      <c r="AT47" s="1331" t="str">
        <f t="shared" si="2"/>
        <v/>
      </c>
      <c r="AU47" s="651"/>
      <c r="AV47" s="1493"/>
      <c r="AW47" s="1518" t="str">
        <f>IF('別紙様式2-2（４・５月分）'!O39="","",'別紙様式2-2（４・５月分）'!O39)</f>
        <v/>
      </c>
      <c r="AX47" s="1507"/>
      <c r="AY47" s="1506"/>
      <c r="AZ47" s="1321"/>
      <c r="BA47" s="1321"/>
      <c r="BB47" s="1321"/>
      <c r="BC47" s="1321"/>
      <c r="BD47" s="1321"/>
      <c r="BE47" s="1321"/>
      <c r="BF47" s="1321"/>
      <c r="BG47" s="1321"/>
      <c r="BH47" s="1321"/>
      <c r="BI47" s="1321"/>
      <c r="BJ47" s="1512"/>
      <c r="BK47" s="1493"/>
      <c r="BL47" s="543" t="str">
        <f>G46</f>
        <v/>
      </c>
    </row>
    <row r="48" spans="1:64" ht="15" customHeight="1">
      <c r="A48" s="1240"/>
      <c r="B48" s="1272"/>
      <c r="C48" s="1261"/>
      <c r="D48" s="1261"/>
      <c r="E48" s="1261"/>
      <c r="F48" s="1262"/>
      <c r="G48" s="1266"/>
      <c r="H48" s="1266"/>
      <c r="I48" s="1266"/>
      <c r="J48" s="1372"/>
      <c r="K48" s="1266"/>
      <c r="L48" s="1247"/>
      <c r="M48" s="1250"/>
      <c r="N48" s="1371"/>
      <c r="O48" s="1368"/>
      <c r="P48" s="1390" t="s">
        <v>2179</v>
      </c>
      <c r="Q48" s="1386" t="str">
        <f>IFERROR(VLOOKUP('別紙様式2-2（４・５月分）'!AR38,【参考】数式用!$AT$5:$AV$22,3,FALSE),"")</f>
        <v/>
      </c>
      <c r="R48" s="1388" t="s">
        <v>2190</v>
      </c>
      <c r="S48" s="1396" t="str">
        <f>IFERROR(VLOOKUP(K46,【参考】数式用!$A$5:$AB$27,MATCH(Q48,【参考】数式用!$B$4:$AB$4,0)+1,0),"")</f>
        <v/>
      </c>
      <c r="T48" s="1459" t="s">
        <v>217</v>
      </c>
      <c r="U48" s="1461"/>
      <c r="V48" s="1463" t="str">
        <f>IFERROR(VLOOKUP(K46,【参考】数式用!$A$5:$AB$27,MATCH(U48,【参考】数式用!$B$4:$AB$4,0)+1,0),"")</f>
        <v/>
      </c>
      <c r="W48" s="1465" t="s">
        <v>19</v>
      </c>
      <c r="X48" s="1508">
        <v>7</v>
      </c>
      <c r="Y48" s="1407" t="s">
        <v>10</v>
      </c>
      <c r="Z48" s="1508">
        <v>4</v>
      </c>
      <c r="AA48" s="1407" t="s">
        <v>45</v>
      </c>
      <c r="AB48" s="1508">
        <v>8</v>
      </c>
      <c r="AC48" s="1407" t="s">
        <v>10</v>
      </c>
      <c r="AD48" s="1508">
        <v>3</v>
      </c>
      <c r="AE48" s="1407" t="s">
        <v>13</v>
      </c>
      <c r="AF48" s="1407" t="s">
        <v>24</v>
      </c>
      <c r="AG48" s="1407">
        <f>IF(X48&gt;=1,(AB48*12+AD48)-(X48*12+Z48)+1,"")</f>
        <v>12</v>
      </c>
      <c r="AH48" s="1409" t="s">
        <v>38</v>
      </c>
      <c r="AI48" s="1496" t="str">
        <f>IFERROR(ROUNDDOWN(ROUND(L46*V48,0)*M46,0)*AG48,"")</f>
        <v/>
      </c>
      <c r="AJ48" s="1510" t="str">
        <f>IFERROR(ROUNDDOWN(ROUND((L46*(V48-AX46)),0)*M46,0)*AG48,"")</f>
        <v/>
      </c>
      <c r="AK48" s="1494">
        <f>IFERROR(IF(OR(N46="",N47="",N49=""),0,ROUNDDOWN(ROUNDDOWN(ROUND(L46*VLOOKUP(K46,【参考】数式用!$A$5:$AB$27,MATCH("新加算Ⅳ",【参考】数式用!$B$4:$AB$4,0)+1,0),0)*M46,0)*AG48*0.5,0)),"")</f>
        <v>0</v>
      </c>
      <c r="AL48" s="1435" t="str">
        <f t="shared" ref="AL48" si="32">IF(U48&lt;&gt;"","新規に適用","")</f>
        <v/>
      </c>
      <c r="AM48" s="1498">
        <f>IFERROR(IF(OR(N49="ベア加算",N49=""),0, IF(OR(U46="新加算Ⅰ",U46="新加算Ⅱ",U46="新加算Ⅲ",U46="新加算Ⅳ"),0,ROUNDDOWN(ROUND(L46*VLOOKUP(K46,【参考】数式用!$A$5:$I$27,MATCH("ベア加算",【参考】数式用!$B$4:$I$4,0)+1,0),0)*M46,0)*AG48)),"")</f>
        <v>0</v>
      </c>
      <c r="AN48" s="1356" t="str">
        <f t="shared" ref="AN48" si="33">IF(AM48=0,"",IF(AND(U48&lt;&gt;"",AN46=""),"新規に適用",IF(AND(U48&lt;&gt;"",AN46&lt;&gt;""),"継続で適用","")))</f>
        <v/>
      </c>
      <c r="AO48" s="1356" t="str">
        <f>IF(AND(U48&lt;&gt;"",AO46=""),"新規に適用",IF(AND(U48&lt;&gt;"",AO46&lt;&gt;""),"継続で適用",""))</f>
        <v/>
      </c>
      <c r="AP48" s="1358"/>
      <c r="AQ48" s="1356" t="str">
        <f>IF(AND(U48&lt;&gt;"",AQ46=""),"新規に適用",IF(AND(U48&lt;&gt;"",AQ46&lt;&gt;""),"継続で適用",""))</f>
        <v/>
      </c>
      <c r="AR48" s="1344" t="str">
        <f t="shared" si="25"/>
        <v/>
      </c>
      <c r="AS48" s="1356" t="str">
        <f>IF(AND(U48&lt;&gt;"",AS46=""),"新規に適用",IF(AND(U48&lt;&gt;"",AS46&lt;&gt;""),"継続で適用",""))</f>
        <v/>
      </c>
      <c r="AT48" s="1331"/>
      <c r="AU48" s="651"/>
      <c r="AV48" s="1493" t="str">
        <f>IF(K46&lt;&gt;"","V列に色付け","")</f>
        <v/>
      </c>
      <c r="AW48" s="1518"/>
      <c r="AX48" s="1507"/>
      <c r="AY48" s="163"/>
      <c r="AZ48" s="163"/>
      <c r="BA48" s="163"/>
      <c r="BB48" s="163"/>
      <c r="BC48" s="163"/>
      <c r="BD48" s="163"/>
      <c r="BE48" s="163"/>
      <c r="BF48" s="163"/>
      <c r="BG48" s="163"/>
      <c r="BH48" s="163"/>
      <c r="BI48" s="163"/>
      <c r="BJ48" s="163"/>
      <c r="BK48" s="163"/>
      <c r="BL48" s="543" t="str">
        <f>G46</f>
        <v/>
      </c>
    </row>
    <row r="49" spans="1:64" ht="30" customHeight="1" thickBot="1">
      <c r="A49" s="1227"/>
      <c r="B49" s="1376"/>
      <c r="C49" s="1377"/>
      <c r="D49" s="1377"/>
      <c r="E49" s="1377"/>
      <c r="F49" s="1378"/>
      <c r="G49" s="1267"/>
      <c r="H49" s="1267"/>
      <c r="I49" s="1267"/>
      <c r="J49" s="1373"/>
      <c r="K49" s="1267"/>
      <c r="L49" s="1248"/>
      <c r="M49" s="1251"/>
      <c r="N49" s="650" t="str">
        <f>IF('別紙様式2-2（４・５月分）'!Q40="","",'別紙様式2-2（４・５月分）'!Q40)</f>
        <v/>
      </c>
      <c r="O49" s="1369"/>
      <c r="P49" s="1391"/>
      <c r="Q49" s="1387"/>
      <c r="R49" s="1389"/>
      <c r="S49" s="1395"/>
      <c r="T49" s="1460"/>
      <c r="U49" s="1462"/>
      <c r="V49" s="1464"/>
      <c r="W49" s="1466"/>
      <c r="X49" s="1509"/>
      <c r="Y49" s="1408"/>
      <c r="Z49" s="1509"/>
      <c r="AA49" s="1408"/>
      <c r="AB49" s="1509"/>
      <c r="AC49" s="1408"/>
      <c r="AD49" s="1509"/>
      <c r="AE49" s="1408"/>
      <c r="AF49" s="1408"/>
      <c r="AG49" s="1408"/>
      <c r="AH49" s="1410"/>
      <c r="AI49" s="1497"/>
      <c r="AJ49" s="1511"/>
      <c r="AK49" s="1495"/>
      <c r="AL49" s="1436"/>
      <c r="AM49" s="1499"/>
      <c r="AN49" s="1357"/>
      <c r="AO49" s="1357"/>
      <c r="AP49" s="1359"/>
      <c r="AQ49" s="1357"/>
      <c r="AR49" s="1345"/>
      <c r="AS49" s="1357"/>
      <c r="AT49" s="581" t="str">
        <f t="shared" ref="AT49" si="34">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51"/>
      <c r="AV49" s="1493"/>
      <c r="AW49" s="652" t="str">
        <f>IF('別紙様式2-2（４・５月分）'!O40="","",'別紙様式2-2（４・５月分）'!O40)</f>
        <v/>
      </c>
      <c r="AX49" s="1507"/>
      <c r="AY49" s="163"/>
      <c r="AZ49" s="163"/>
      <c r="BA49" s="163"/>
      <c r="BB49" s="163"/>
      <c r="BC49" s="163"/>
      <c r="BD49" s="163"/>
      <c r="BE49" s="163"/>
      <c r="BF49" s="163"/>
      <c r="BG49" s="163"/>
      <c r="BH49" s="163"/>
      <c r="BI49" s="163"/>
      <c r="BJ49" s="163"/>
      <c r="BK49" s="163"/>
      <c r="BL49" s="543" t="str">
        <f>G46</f>
        <v/>
      </c>
    </row>
    <row r="50" spans="1:64" ht="30" customHeight="1">
      <c r="A50" s="1225">
        <v>10</v>
      </c>
      <c r="B50" s="1271" t="str">
        <f>IF(基本情報入力シート!C63="","",基本情報入力シート!C63)</f>
        <v/>
      </c>
      <c r="C50" s="1259"/>
      <c r="D50" s="1259"/>
      <c r="E50" s="1259"/>
      <c r="F50" s="1260"/>
      <c r="G50" s="1265" t="str">
        <f>IF(基本情報入力シート!M63="","",基本情報入力シート!M63)</f>
        <v/>
      </c>
      <c r="H50" s="1265" t="str">
        <f>IF(基本情報入力シート!R63="","",基本情報入力シート!R63)</f>
        <v/>
      </c>
      <c r="I50" s="1265" t="str">
        <f>IF(基本情報入力シート!W63="","",基本情報入力シート!W63)</f>
        <v/>
      </c>
      <c r="J50" s="1379" t="str">
        <f>IF(基本情報入力シート!X63="","",基本情報入力シート!X63)</f>
        <v/>
      </c>
      <c r="K50" s="1265" t="str">
        <f>IF(基本情報入力シート!Y63="","",基本情報入力シート!Y63)</f>
        <v/>
      </c>
      <c r="L50" s="1246" t="str">
        <f>IF(基本情報入力シート!AB63="","",基本情報入力シート!AB63)</f>
        <v/>
      </c>
      <c r="M50" s="1399" t="str">
        <f>IF(基本情報入力シート!AC63="","",基本情報入力シート!AC63)</f>
        <v/>
      </c>
      <c r="N50" s="647" t="str">
        <f>IF('別紙様式2-2（４・５月分）'!Q41="","",'別紙様式2-2（４・５月分）'!Q41)</f>
        <v/>
      </c>
      <c r="O50" s="1366" t="str">
        <f>IF(SUM('別紙様式2-2（４・５月分）'!R41:R43)=0,"",SUM('別紙様式2-2（４・５月分）'!R41:R43))</f>
        <v/>
      </c>
      <c r="P50" s="1380" t="str">
        <f>IFERROR(VLOOKUP('別紙様式2-2（４・５月分）'!AR41,【参考】数式用!$AT$5:$AU$22,2,FALSE),"")</f>
        <v/>
      </c>
      <c r="Q50" s="1381"/>
      <c r="R50" s="1382"/>
      <c r="S50" s="1392" t="str">
        <f>IFERROR(VLOOKUP(K50,【参考】数式用!$A$5:$AB$27,MATCH(P50,【参考】数式用!$B$4:$AB$4,0)+1,0),"")</f>
        <v/>
      </c>
      <c r="T50" s="1413" t="s">
        <v>2173</v>
      </c>
      <c r="U50" s="1415"/>
      <c r="V50" s="1457" t="str">
        <f>IFERROR(VLOOKUP(K50,【参考】数式用!$A$5:$AB$27,MATCH(U50,【参考】数式用!$B$4:$AB$4,0)+1,0),"")</f>
        <v/>
      </c>
      <c r="W50" s="1350" t="s">
        <v>19</v>
      </c>
      <c r="X50" s="1352">
        <v>6</v>
      </c>
      <c r="Y50" s="1354" t="s">
        <v>10</v>
      </c>
      <c r="Z50" s="1352">
        <v>6</v>
      </c>
      <c r="AA50" s="1354" t="s">
        <v>45</v>
      </c>
      <c r="AB50" s="1352">
        <v>7</v>
      </c>
      <c r="AC50" s="1354" t="s">
        <v>10</v>
      </c>
      <c r="AD50" s="1352">
        <v>3</v>
      </c>
      <c r="AE50" s="1354" t="s">
        <v>13</v>
      </c>
      <c r="AF50" s="1354" t="s">
        <v>24</v>
      </c>
      <c r="AG50" s="1354">
        <f>IF(X50&gt;=1,(AB50*12+AD50)-(X50*12+Z50)+1,"")</f>
        <v>10</v>
      </c>
      <c r="AH50" s="1360" t="s">
        <v>38</v>
      </c>
      <c r="AI50" s="1481" t="str">
        <f>IFERROR(ROUNDDOWN(ROUND(L50*V50,0)*M50,0)*AG50,"")</f>
        <v/>
      </c>
      <c r="AJ50" s="1483" t="str">
        <f>IFERROR(ROUNDDOWN(ROUND((L50*(V50-AX50)),0)*M50,0)*AG50,"")</f>
        <v/>
      </c>
      <c r="AK50" s="1485">
        <f>IFERROR(IF(OR(N50="",N51="",N53=""),0,ROUNDDOWN(ROUNDDOWN(ROUND(L50*VLOOKUP(K50,【参考】数式用!$A$5:$AB$27,MATCH("新加算Ⅳ",【参考】数式用!$B$4:$AB$4,0)+1,0),0)*M50,0)*AG50*0.5,0)),"")</f>
        <v>0</v>
      </c>
      <c r="AL50" s="1433"/>
      <c r="AM50" s="1487">
        <f>IFERROR(IF(OR(N53="ベア加算",N53=""),0, IF(OR(U50="新加算Ⅰ",U50="新加算Ⅱ",U50="新加算Ⅲ",U50="新加算Ⅳ"),ROUNDDOWN(ROUND(L50*VLOOKUP(K50,【参考】数式用!$A$5:$I$27,MATCH("ベア加算",【参考】数式用!$B$4:$I$4,0)+1,0),0)*M50,0)*AG50,0)),"")</f>
        <v>0</v>
      </c>
      <c r="AN50" s="1502"/>
      <c r="AO50" s="1364"/>
      <c r="AP50" s="1403"/>
      <c r="AQ50" s="1403"/>
      <c r="AR50" s="1489"/>
      <c r="AS50" s="1491"/>
      <c r="AT50" s="556" t="str">
        <f t="shared" si="0"/>
        <v/>
      </c>
      <c r="AU50" s="651"/>
      <c r="AV50" s="1493" t="str">
        <f>IF(K50&lt;&gt;"","V列に色付け","")</f>
        <v/>
      </c>
      <c r="AW50" s="652" t="str">
        <f>IF('別紙様式2-2（４・５月分）'!O41="","",'別紙様式2-2（４・５月分）'!O41)</f>
        <v/>
      </c>
      <c r="AX50" s="1507" t="str">
        <f>IF(SUM('別紙様式2-2（４・５月分）'!P41:P43)=0,"",SUM('別紙様式2-2（４・５月分）'!P41:P43))</f>
        <v/>
      </c>
      <c r="AY50" s="1506" t="str">
        <f>IFERROR(VLOOKUP(K50,【参考】数式用!$AJ$2:$AK$24,2,FALSE),"")</f>
        <v/>
      </c>
      <c r="AZ50" s="1321" t="s">
        <v>2098</v>
      </c>
      <c r="BA50" s="1321" t="s">
        <v>2099</v>
      </c>
      <c r="BB50" s="1321" t="s">
        <v>2100</v>
      </c>
      <c r="BC50" s="1321" t="s">
        <v>2101</v>
      </c>
      <c r="BD50" s="1321" t="str">
        <f>IF(AND(P50&lt;&gt;"新加算Ⅰ",P50&lt;&gt;"新加算Ⅱ",P50&lt;&gt;"新加算Ⅲ",P50&lt;&gt;"新加算Ⅳ"),P50,IF(Q52&lt;&gt;"",Q52,""))</f>
        <v/>
      </c>
      <c r="BE50" s="1321"/>
      <c r="BF50" s="1321" t="str">
        <f t="shared" ref="BF50" si="35">IF(AM50&lt;&gt;0,IF(AN50="○","入力済","未入力"),"")</f>
        <v/>
      </c>
      <c r="BG50" s="1321"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321" t="str">
        <f>IF(OR(U50="新加算Ⅴ（７）",U50="新加算Ⅴ（９）",U50="新加算Ⅴ（10）",U50="新加算Ⅴ（12）",U50="新加算Ⅴ（13）",U50="新加算Ⅴ（14）"),IF(OR(AP50="○",AP50="令和６年度中に満たす"),"入力済","未入力"),"")</f>
        <v/>
      </c>
      <c r="BI50" s="1321" t="str">
        <f>IF(OR(U50="新加算Ⅰ",U50="新加算Ⅱ",U50="新加算Ⅲ",U50="新加算Ⅴ（１）",U50="新加算Ⅴ（３）",U50="新加算Ⅴ（８）"),IF(OR(AQ50="○",AQ50="令和６年度中に満たす"),"入力済","未入力"),"")</f>
        <v/>
      </c>
      <c r="BJ50" s="1512"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493" t="str">
        <f>IF(OR(U50="新加算Ⅰ",U50="新加算Ⅴ（１）",U50="新加算Ⅴ（２）",U50="新加算Ⅴ（５）",U50="新加算Ⅴ（７）",U50="新加算Ⅴ（10）"),IF(AS50="","未入力","入力済"),"")</f>
        <v/>
      </c>
      <c r="BL50" s="543" t="str">
        <f>G50</f>
        <v/>
      </c>
    </row>
    <row r="51" spans="1:64" ht="15" customHeight="1">
      <c r="A51" s="1226"/>
      <c r="B51" s="1272"/>
      <c r="C51" s="1398"/>
      <c r="D51" s="1398"/>
      <c r="E51" s="1398"/>
      <c r="F51" s="1262"/>
      <c r="G51" s="1266"/>
      <c r="H51" s="1266"/>
      <c r="I51" s="1266"/>
      <c r="J51" s="1372"/>
      <c r="K51" s="1266"/>
      <c r="L51" s="1247"/>
      <c r="M51" s="1374"/>
      <c r="N51" s="1370" t="str">
        <f>IF('別紙様式2-2（４・５月分）'!Q42="","",'別紙様式2-2（４・５月分）'!Q42)</f>
        <v/>
      </c>
      <c r="O51" s="1367"/>
      <c r="P51" s="1383"/>
      <c r="Q51" s="1384"/>
      <c r="R51" s="1385"/>
      <c r="S51" s="1393"/>
      <c r="T51" s="1414"/>
      <c r="U51" s="1416"/>
      <c r="V51" s="1458"/>
      <c r="W51" s="1351"/>
      <c r="X51" s="1353"/>
      <c r="Y51" s="1355"/>
      <c r="Z51" s="1353"/>
      <c r="AA51" s="1355"/>
      <c r="AB51" s="1353"/>
      <c r="AC51" s="1355"/>
      <c r="AD51" s="1353"/>
      <c r="AE51" s="1355"/>
      <c r="AF51" s="1355"/>
      <c r="AG51" s="1355"/>
      <c r="AH51" s="1361"/>
      <c r="AI51" s="1482"/>
      <c r="AJ51" s="1484"/>
      <c r="AK51" s="1486"/>
      <c r="AL51" s="1434"/>
      <c r="AM51" s="1488"/>
      <c r="AN51" s="1503"/>
      <c r="AO51" s="1365"/>
      <c r="AP51" s="1404"/>
      <c r="AQ51" s="1404"/>
      <c r="AR51" s="1490"/>
      <c r="AS51" s="1492"/>
      <c r="AT51" s="1331" t="str">
        <f t="shared" si="2"/>
        <v/>
      </c>
      <c r="AU51" s="651"/>
      <c r="AV51" s="1493"/>
      <c r="AW51" s="1518" t="str">
        <f>IF('別紙様式2-2（４・５月分）'!O42="","",'別紙様式2-2（４・５月分）'!O42)</f>
        <v/>
      </c>
      <c r="AX51" s="1507"/>
      <c r="AY51" s="1506"/>
      <c r="AZ51" s="1321"/>
      <c r="BA51" s="1321"/>
      <c r="BB51" s="1321"/>
      <c r="BC51" s="1321"/>
      <c r="BD51" s="1321"/>
      <c r="BE51" s="1321"/>
      <c r="BF51" s="1321"/>
      <c r="BG51" s="1321"/>
      <c r="BH51" s="1321"/>
      <c r="BI51" s="1321"/>
      <c r="BJ51" s="1512"/>
      <c r="BK51" s="1493"/>
      <c r="BL51" s="543" t="str">
        <f>G50</f>
        <v/>
      </c>
    </row>
    <row r="52" spans="1:64" ht="15" customHeight="1">
      <c r="A52" s="1240"/>
      <c r="B52" s="1272"/>
      <c r="C52" s="1398"/>
      <c r="D52" s="1398"/>
      <c r="E52" s="1398"/>
      <c r="F52" s="1262"/>
      <c r="G52" s="1266"/>
      <c r="H52" s="1266"/>
      <c r="I52" s="1266"/>
      <c r="J52" s="1372"/>
      <c r="K52" s="1266"/>
      <c r="L52" s="1247"/>
      <c r="M52" s="1374"/>
      <c r="N52" s="1371"/>
      <c r="O52" s="1368"/>
      <c r="P52" s="1390" t="s">
        <v>2179</v>
      </c>
      <c r="Q52" s="1386" t="str">
        <f>IFERROR(VLOOKUP('別紙様式2-2（４・５月分）'!AR41,【参考】数式用!$AT$5:$AV$22,3,FALSE),"")</f>
        <v/>
      </c>
      <c r="R52" s="1388" t="s">
        <v>2190</v>
      </c>
      <c r="S52" s="1394" t="str">
        <f>IFERROR(VLOOKUP(K50,【参考】数式用!$A$5:$AB$27,MATCH(Q52,【参考】数式用!$B$4:$AB$4,0)+1,0),"")</f>
        <v/>
      </c>
      <c r="T52" s="1459" t="s">
        <v>217</v>
      </c>
      <c r="U52" s="1461"/>
      <c r="V52" s="1463" t="str">
        <f>IFERROR(VLOOKUP(K50,【参考】数式用!$A$5:$AB$27,MATCH(U52,【参考】数式用!$B$4:$AB$4,0)+1,0),"")</f>
        <v/>
      </c>
      <c r="W52" s="1465" t="s">
        <v>19</v>
      </c>
      <c r="X52" s="1508">
        <v>7</v>
      </c>
      <c r="Y52" s="1407" t="s">
        <v>10</v>
      </c>
      <c r="Z52" s="1508">
        <v>4</v>
      </c>
      <c r="AA52" s="1407" t="s">
        <v>45</v>
      </c>
      <c r="AB52" s="1508">
        <v>8</v>
      </c>
      <c r="AC52" s="1407" t="s">
        <v>10</v>
      </c>
      <c r="AD52" s="1508">
        <v>3</v>
      </c>
      <c r="AE52" s="1407" t="s">
        <v>13</v>
      </c>
      <c r="AF52" s="1407" t="s">
        <v>24</v>
      </c>
      <c r="AG52" s="1407">
        <f>IF(X52&gt;=1,(AB52*12+AD52)-(X52*12+Z52)+1,"")</f>
        <v>12</v>
      </c>
      <c r="AH52" s="1409" t="s">
        <v>38</v>
      </c>
      <c r="AI52" s="1496" t="str">
        <f>IFERROR(ROUNDDOWN(ROUND(L50*V52,0)*M50,0)*AG52,"")</f>
        <v/>
      </c>
      <c r="AJ52" s="1510" t="str">
        <f>IFERROR(ROUNDDOWN(ROUND((L50*(V52-AX50)),0)*M50,0)*AG52,"")</f>
        <v/>
      </c>
      <c r="AK52" s="1494">
        <f>IFERROR(IF(OR(N50="",N51="",N53=""),0,ROUNDDOWN(ROUNDDOWN(ROUND(L50*VLOOKUP(K50,【参考】数式用!$A$5:$AB$27,MATCH("新加算Ⅳ",【参考】数式用!$B$4:$AB$4,0)+1,0),0)*M50,0)*AG52*0.5,0)),"")</f>
        <v>0</v>
      </c>
      <c r="AL52" s="1435" t="str">
        <f t="shared" ref="AL52" si="36">IF(U52&lt;&gt;"","新規に適用","")</f>
        <v/>
      </c>
      <c r="AM52" s="1498">
        <f>IFERROR(IF(OR(N53="ベア加算",N53=""),0, IF(OR(U50="新加算Ⅰ",U50="新加算Ⅱ",U50="新加算Ⅲ",U50="新加算Ⅳ"),0,ROUNDDOWN(ROUND(L50*VLOOKUP(K50,【参考】数式用!$A$5:$I$27,MATCH("ベア加算",【参考】数式用!$B$4:$I$4,0)+1,0),0)*M50,0)*AG52)),"")</f>
        <v>0</v>
      </c>
      <c r="AN52" s="1356" t="str">
        <f t="shared" ref="AN52" si="37">IF(AM52=0,"",IF(AND(U52&lt;&gt;"",AN50=""),"新規に適用",IF(AND(U52&lt;&gt;"",AN50&lt;&gt;""),"継続で適用","")))</f>
        <v/>
      </c>
      <c r="AO52" s="1356" t="str">
        <f>IF(AND(U52&lt;&gt;"",AO50=""),"新規に適用",IF(AND(U52&lt;&gt;"",AO50&lt;&gt;""),"継続で適用",""))</f>
        <v/>
      </c>
      <c r="AP52" s="1358"/>
      <c r="AQ52" s="1356" t="str">
        <f>IF(AND(U52&lt;&gt;"",AQ50=""),"新規に適用",IF(AND(U52&lt;&gt;"",AQ50&lt;&gt;""),"継続で適用",""))</f>
        <v/>
      </c>
      <c r="AR52" s="1344" t="str">
        <f t="shared" si="25"/>
        <v/>
      </c>
      <c r="AS52" s="1346" t="str">
        <f>IF(AND(U52&lt;&gt;"",AS50=""),"新規に適用",IF(AND(U52&lt;&gt;"",AS50&lt;&gt;""),"継続で適用",""))</f>
        <v/>
      </c>
      <c r="AT52" s="1331"/>
      <c r="AU52" s="651"/>
      <c r="AV52" s="1493" t="str">
        <f>IF(K50&lt;&gt;"","V列に色付け","")</f>
        <v/>
      </c>
      <c r="AW52" s="1518"/>
      <c r="AX52" s="1507"/>
      <c r="AY52" s="163"/>
      <c r="AZ52" s="163"/>
      <c r="BA52" s="163"/>
      <c r="BB52" s="163"/>
      <c r="BC52" s="163"/>
      <c r="BD52" s="163"/>
      <c r="BE52" s="163"/>
      <c r="BF52" s="163"/>
      <c r="BG52" s="163"/>
      <c r="BH52" s="163"/>
      <c r="BI52" s="163"/>
      <c r="BJ52" s="163"/>
      <c r="BK52" s="163"/>
      <c r="BL52" s="543" t="str">
        <f>G50</f>
        <v/>
      </c>
    </row>
    <row r="53" spans="1:64" ht="30" customHeight="1" thickBot="1">
      <c r="A53" s="1227"/>
      <c r="B53" s="1376"/>
      <c r="C53" s="1377"/>
      <c r="D53" s="1377"/>
      <c r="E53" s="1377"/>
      <c r="F53" s="1378"/>
      <c r="G53" s="1267"/>
      <c r="H53" s="1267"/>
      <c r="I53" s="1267"/>
      <c r="J53" s="1373"/>
      <c r="K53" s="1267"/>
      <c r="L53" s="1248"/>
      <c r="M53" s="1375"/>
      <c r="N53" s="650" t="str">
        <f>IF('別紙様式2-2（４・５月分）'!Q43="","",'別紙様式2-2（４・５月分）'!Q43)</f>
        <v/>
      </c>
      <c r="O53" s="1369"/>
      <c r="P53" s="1391"/>
      <c r="Q53" s="1387"/>
      <c r="R53" s="1389"/>
      <c r="S53" s="1395"/>
      <c r="T53" s="1460"/>
      <c r="U53" s="1462"/>
      <c r="V53" s="1464"/>
      <c r="W53" s="1466"/>
      <c r="X53" s="1509"/>
      <c r="Y53" s="1408"/>
      <c r="Z53" s="1509"/>
      <c r="AA53" s="1408"/>
      <c r="AB53" s="1509"/>
      <c r="AC53" s="1408"/>
      <c r="AD53" s="1509"/>
      <c r="AE53" s="1408"/>
      <c r="AF53" s="1408"/>
      <c r="AG53" s="1408"/>
      <c r="AH53" s="1410"/>
      <c r="AI53" s="1497"/>
      <c r="AJ53" s="1511"/>
      <c r="AK53" s="1495"/>
      <c r="AL53" s="1436"/>
      <c r="AM53" s="1499"/>
      <c r="AN53" s="1357"/>
      <c r="AO53" s="1357"/>
      <c r="AP53" s="1359"/>
      <c r="AQ53" s="1357"/>
      <c r="AR53" s="1345"/>
      <c r="AS53" s="1347"/>
      <c r="AT53" s="581" t="str">
        <f t="shared" ref="AT53" si="38">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51"/>
      <c r="AV53" s="1493"/>
      <c r="AW53" s="652" t="str">
        <f>IF('別紙様式2-2（４・５月分）'!O43="","",'別紙様式2-2（４・５月分）'!O43)</f>
        <v/>
      </c>
      <c r="AX53" s="1507"/>
      <c r="AY53" s="163"/>
      <c r="AZ53" s="163"/>
      <c r="BA53" s="163"/>
      <c r="BB53" s="163"/>
      <c r="BC53" s="163"/>
      <c r="BD53" s="163"/>
      <c r="BE53" s="163"/>
      <c r="BF53" s="163"/>
      <c r="BG53" s="163"/>
      <c r="BH53" s="163"/>
      <c r="BI53" s="163"/>
      <c r="BJ53" s="163"/>
      <c r="BK53" s="163"/>
      <c r="BL53" s="543" t="str">
        <f>G50</f>
        <v/>
      </c>
    </row>
    <row r="54" spans="1:64" ht="30" customHeight="1">
      <c r="A54" s="1225">
        <v>11</v>
      </c>
      <c r="B54" s="1271" t="str">
        <f>IF(基本情報入力シート!C64="","",基本情報入力シート!C64)</f>
        <v/>
      </c>
      <c r="C54" s="1259"/>
      <c r="D54" s="1259"/>
      <c r="E54" s="1259"/>
      <c r="F54" s="1260"/>
      <c r="G54" s="1265" t="str">
        <f>IF(基本情報入力シート!M64="","",基本情報入力シート!M64)</f>
        <v/>
      </c>
      <c r="H54" s="1265" t="str">
        <f>IF(基本情報入力シート!R64="","",基本情報入力シート!R64)</f>
        <v/>
      </c>
      <c r="I54" s="1265" t="str">
        <f>IF(基本情報入力シート!W64="","",基本情報入力シート!W64)</f>
        <v/>
      </c>
      <c r="J54" s="1379" t="str">
        <f>IF(基本情報入力シート!X64="","",基本情報入力シート!X64)</f>
        <v/>
      </c>
      <c r="K54" s="1265" t="str">
        <f>IF(基本情報入力シート!Y64="","",基本情報入力シート!Y64)</f>
        <v/>
      </c>
      <c r="L54" s="1246" t="str">
        <f>IF(基本情報入力シート!AB64="","",基本情報入力シート!AB64)</f>
        <v/>
      </c>
      <c r="M54" s="1249" t="str">
        <f>IF(基本情報入力シート!AC64="","",基本情報入力シート!AC64)</f>
        <v/>
      </c>
      <c r="N54" s="647" t="str">
        <f>IF('別紙様式2-2（４・５月分）'!Q44="","",'別紙様式2-2（４・５月分）'!Q44)</f>
        <v/>
      </c>
      <c r="O54" s="1366" t="str">
        <f>IF(SUM('別紙様式2-2（４・５月分）'!R44:R46)=0,"",SUM('別紙様式2-2（４・５月分）'!R44:R46))</f>
        <v/>
      </c>
      <c r="P54" s="1380" t="str">
        <f>IFERROR(VLOOKUP('別紙様式2-2（４・５月分）'!AR44,【参考】数式用!$AT$5:$AU$22,2,FALSE),"")</f>
        <v/>
      </c>
      <c r="Q54" s="1381"/>
      <c r="R54" s="1382"/>
      <c r="S54" s="1392" t="str">
        <f>IFERROR(VLOOKUP(K54,【参考】数式用!$A$5:$AB$27,MATCH(P54,【参考】数式用!$B$4:$AB$4,0)+1,0),"")</f>
        <v/>
      </c>
      <c r="T54" s="1413" t="s">
        <v>2173</v>
      </c>
      <c r="U54" s="1415"/>
      <c r="V54" s="1457" t="str">
        <f>IFERROR(VLOOKUP(K54,【参考】数式用!$A$5:$AB$27,MATCH(U54,【参考】数式用!$B$4:$AB$4,0)+1,0),"")</f>
        <v/>
      </c>
      <c r="W54" s="1350" t="s">
        <v>19</v>
      </c>
      <c r="X54" s="1352">
        <v>6</v>
      </c>
      <c r="Y54" s="1354" t="s">
        <v>10</v>
      </c>
      <c r="Z54" s="1352">
        <v>6</v>
      </c>
      <c r="AA54" s="1354" t="s">
        <v>45</v>
      </c>
      <c r="AB54" s="1352">
        <v>7</v>
      </c>
      <c r="AC54" s="1354" t="s">
        <v>10</v>
      </c>
      <c r="AD54" s="1352">
        <v>3</v>
      </c>
      <c r="AE54" s="1354" t="s">
        <v>13</v>
      </c>
      <c r="AF54" s="1354" t="s">
        <v>24</v>
      </c>
      <c r="AG54" s="1354">
        <f>IF(X54&gt;=1,(AB54*12+AD54)-(X54*12+Z54)+1,"")</f>
        <v>10</v>
      </c>
      <c r="AH54" s="1360" t="s">
        <v>38</v>
      </c>
      <c r="AI54" s="1481" t="str">
        <f>IFERROR(ROUNDDOWN(ROUND(L54*V54,0)*M54,0)*AG54,"")</f>
        <v/>
      </c>
      <c r="AJ54" s="1483" t="str">
        <f>IFERROR(ROUNDDOWN(ROUND((L54*(V54-AX54)),0)*M54,0)*AG54,"")</f>
        <v/>
      </c>
      <c r="AK54" s="1485">
        <f>IFERROR(IF(OR(N54="",N55="",N57=""),0,ROUNDDOWN(ROUNDDOWN(ROUND(L54*VLOOKUP(K54,【参考】数式用!$A$5:$AB$27,MATCH("新加算Ⅳ",【参考】数式用!$B$4:$AB$4,0)+1,0),0)*M54,0)*AG54*0.5,0)),"")</f>
        <v>0</v>
      </c>
      <c r="AL54" s="1433"/>
      <c r="AM54" s="1487">
        <f>IFERROR(IF(OR(N57="ベア加算",N57=""),0, IF(OR(U54="新加算Ⅰ",U54="新加算Ⅱ",U54="新加算Ⅲ",U54="新加算Ⅳ"),ROUNDDOWN(ROUND(L54*VLOOKUP(K54,【参考】数式用!$A$5:$I$27,MATCH("ベア加算",【参考】数式用!$B$4:$I$4,0)+1,0),0)*M54,0)*AG54,0)),"")</f>
        <v>0</v>
      </c>
      <c r="AN54" s="1502"/>
      <c r="AO54" s="1364"/>
      <c r="AP54" s="1403"/>
      <c r="AQ54" s="1403"/>
      <c r="AR54" s="1489"/>
      <c r="AS54" s="1491"/>
      <c r="AT54" s="556" t="str">
        <f t="shared" si="0"/>
        <v/>
      </c>
      <c r="AU54" s="651"/>
      <c r="AV54" s="1493" t="str">
        <f>IF(K54&lt;&gt;"","V列に色付け","")</f>
        <v/>
      </c>
      <c r="AW54" s="652" t="str">
        <f>IF('別紙様式2-2（４・５月分）'!O44="","",'別紙様式2-2（４・５月分）'!O44)</f>
        <v/>
      </c>
      <c r="AX54" s="1507" t="str">
        <f>IF(SUM('別紙様式2-2（４・５月分）'!P44:P46)=0,"",SUM('別紙様式2-2（４・５月分）'!P44:P46))</f>
        <v/>
      </c>
      <c r="AY54" s="1506" t="str">
        <f>IFERROR(VLOOKUP(K54,【参考】数式用!$AJ$2:$AK$24,2,FALSE),"")</f>
        <v/>
      </c>
      <c r="AZ54" s="1321" t="s">
        <v>2098</v>
      </c>
      <c r="BA54" s="1321" t="s">
        <v>2099</v>
      </c>
      <c r="BB54" s="1321" t="s">
        <v>2100</v>
      </c>
      <c r="BC54" s="1321" t="s">
        <v>2101</v>
      </c>
      <c r="BD54" s="1321" t="str">
        <f>IF(AND(P54&lt;&gt;"新加算Ⅰ",P54&lt;&gt;"新加算Ⅱ",P54&lt;&gt;"新加算Ⅲ",P54&lt;&gt;"新加算Ⅳ"),P54,IF(Q56&lt;&gt;"",Q56,""))</f>
        <v/>
      </c>
      <c r="BE54" s="1321"/>
      <c r="BF54" s="1321" t="str">
        <f t="shared" ref="BF54" si="39">IF(AM54&lt;&gt;0,IF(AN54="○","入力済","未入力"),"")</f>
        <v/>
      </c>
      <c r="BG54" s="1321"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321" t="str">
        <f>IF(OR(U54="新加算Ⅴ（７）",U54="新加算Ⅴ（９）",U54="新加算Ⅴ（10）",U54="新加算Ⅴ（12）",U54="新加算Ⅴ（13）",U54="新加算Ⅴ（14）"),IF(OR(AP54="○",AP54="令和６年度中に満たす"),"入力済","未入力"),"")</f>
        <v/>
      </c>
      <c r="BI54" s="1321" t="str">
        <f>IF(OR(U54="新加算Ⅰ",U54="新加算Ⅱ",U54="新加算Ⅲ",U54="新加算Ⅴ（１）",U54="新加算Ⅴ（３）",U54="新加算Ⅴ（８）"),IF(OR(AQ54="○",AQ54="令和６年度中に満たす"),"入力済","未入力"),"")</f>
        <v/>
      </c>
      <c r="BJ54" s="1512"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493" t="str">
        <f>IF(OR(U54="新加算Ⅰ",U54="新加算Ⅴ（１）",U54="新加算Ⅴ（２）",U54="新加算Ⅴ（５）",U54="新加算Ⅴ（７）",U54="新加算Ⅴ（10）"),IF(AS54="","未入力","入力済"),"")</f>
        <v/>
      </c>
      <c r="BL54" s="543" t="str">
        <f>G54</f>
        <v/>
      </c>
    </row>
    <row r="55" spans="1:64" ht="15" customHeight="1">
      <c r="A55" s="1226"/>
      <c r="B55" s="1272"/>
      <c r="C55" s="1261"/>
      <c r="D55" s="1261"/>
      <c r="E55" s="1261"/>
      <c r="F55" s="1262"/>
      <c r="G55" s="1266"/>
      <c r="H55" s="1266"/>
      <c r="I55" s="1266"/>
      <c r="J55" s="1372"/>
      <c r="K55" s="1266"/>
      <c r="L55" s="1247"/>
      <c r="M55" s="1250"/>
      <c r="N55" s="1370" t="str">
        <f>IF('別紙様式2-2（４・５月分）'!Q45="","",'別紙様式2-2（４・５月分）'!Q45)</f>
        <v/>
      </c>
      <c r="O55" s="1367"/>
      <c r="P55" s="1383"/>
      <c r="Q55" s="1384"/>
      <c r="R55" s="1385"/>
      <c r="S55" s="1393"/>
      <c r="T55" s="1414"/>
      <c r="U55" s="1416"/>
      <c r="V55" s="1458"/>
      <c r="W55" s="1351"/>
      <c r="X55" s="1353"/>
      <c r="Y55" s="1355"/>
      <c r="Z55" s="1353"/>
      <c r="AA55" s="1355"/>
      <c r="AB55" s="1353"/>
      <c r="AC55" s="1355"/>
      <c r="AD55" s="1353"/>
      <c r="AE55" s="1355"/>
      <c r="AF55" s="1355"/>
      <c r="AG55" s="1355"/>
      <c r="AH55" s="1361"/>
      <c r="AI55" s="1482"/>
      <c r="AJ55" s="1484"/>
      <c r="AK55" s="1486"/>
      <c r="AL55" s="1434"/>
      <c r="AM55" s="1488"/>
      <c r="AN55" s="1503"/>
      <c r="AO55" s="1365"/>
      <c r="AP55" s="1404"/>
      <c r="AQ55" s="1404"/>
      <c r="AR55" s="1490"/>
      <c r="AS55" s="1492"/>
      <c r="AT55" s="1331" t="str">
        <f t="shared" si="2"/>
        <v/>
      </c>
      <c r="AU55" s="651"/>
      <c r="AV55" s="1493"/>
      <c r="AW55" s="1518" t="str">
        <f>IF('別紙様式2-2（４・５月分）'!O45="","",'別紙様式2-2（４・５月分）'!O45)</f>
        <v/>
      </c>
      <c r="AX55" s="1507"/>
      <c r="AY55" s="1506"/>
      <c r="AZ55" s="1321"/>
      <c r="BA55" s="1321"/>
      <c r="BB55" s="1321"/>
      <c r="BC55" s="1321"/>
      <c r="BD55" s="1321"/>
      <c r="BE55" s="1321"/>
      <c r="BF55" s="1321"/>
      <c r="BG55" s="1321"/>
      <c r="BH55" s="1321"/>
      <c r="BI55" s="1321"/>
      <c r="BJ55" s="1512"/>
      <c r="BK55" s="1493"/>
      <c r="BL55" s="543" t="str">
        <f>G54</f>
        <v/>
      </c>
    </row>
    <row r="56" spans="1:64" ht="15" customHeight="1">
      <c r="A56" s="1240"/>
      <c r="B56" s="1272"/>
      <c r="C56" s="1261"/>
      <c r="D56" s="1261"/>
      <c r="E56" s="1261"/>
      <c r="F56" s="1262"/>
      <c r="G56" s="1266"/>
      <c r="H56" s="1266"/>
      <c r="I56" s="1266"/>
      <c r="J56" s="1372"/>
      <c r="K56" s="1266"/>
      <c r="L56" s="1247"/>
      <c r="M56" s="1250"/>
      <c r="N56" s="1371"/>
      <c r="O56" s="1368"/>
      <c r="P56" s="1390" t="s">
        <v>2179</v>
      </c>
      <c r="Q56" s="1386" t="str">
        <f>IFERROR(VLOOKUP('別紙様式2-2（４・５月分）'!AR44,【参考】数式用!$AT$5:$AV$22,3,FALSE),"")</f>
        <v/>
      </c>
      <c r="R56" s="1388" t="s">
        <v>2190</v>
      </c>
      <c r="S56" s="1396" t="str">
        <f>IFERROR(VLOOKUP(K54,【参考】数式用!$A$5:$AB$27,MATCH(Q56,【参考】数式用!$B$4:$AB$4,0)+1,0),"")</f>
        <v/>
      </c>
      <c r="T56" s="1459" t="s">
        <v>217</v>
      </c>
      <c r="U56" s="1461"/>
      <c r="V56" s="1463" t="str">
        <f>IFERROR(VLOOKUP(K54,【参考】数式用!$A$5:$AB$27,MATCH(U56,【参考】数式用!$B$4:$AB$4,0)+1,0),"")</f>
        <v/>
      </c>
      <c r="W56" s="1465" t="s">
        <v>19</v>
      </c>
      <c r="X56" s="1508">
        <v>7</v>
      </c>
      <c r="Y56" s="1407" t="s">
        <v>10</v>
      </c>
      <c r="Z56" s="1508">
        <v>4</v>
      </c>
      <c r="AA56" s="1407" t="s">
        <v>45</v>
      </c>
      <c r="AB56" s="1508">
        <v>8</v>
      </c>
      <c r="AC56" s="1407" t="s">
        <v>10</v>
      </c>
      <c r="AD56" s="1508">
        <v>3</v>
      </c>
      <c r="AE56" s="1407" t="s">
        <v>13</v>
      </c>
      <c r="AF56" s="1407" t="s">
        <v>24</v>
      </c>
      <c r="AG56" s="1407">
        <f>IF(X56&gt;=1,(AB56*12+AD56)-(X56*12+Z56)+1,"")</f>
        <v>12</v>
      </c>
      <c r="AH56" s="1409" t="s">
        <v>38</v>
      </c>
      <c r="AI56" s="1496" t="str">
        <f>IFERROR(ROUNDDOWN(ROUND(L54*V56,0)*M54,0)*AG56,"")</f>
        <v/>
      </c>
      <c r="AJ56" s="1510" t="str">
        <f>IFERROR(ROUNDDOWN(ROUND((L54*(V56-AX54)),0)*M54,0)*AG56,"")</f>
        <v/>
      </c>
      <c r="AK56" s="1494">
        <f>IFERROR(IF(OR(N54="",N55="",N57=""),0,ROUNDDOWN(ROUNDDOWN(ROUND(L54*VLOOKUP(K54,【参考】数式用!$A$5:$AB$27,MATCH("新加算Ⅳ",【参考】数式用!$B$4:$AB$4,0)+1,0),0)*M54,0)*AG56*0.5,0)),"")</f>
        <v>0</v>
      </c>
      <c r="AL56" s="1435" t="str">
        <f t="shared" ref="AL56" si="40">IF(U56&lt;&gt;"","新規に適用","")</f>
        <v/>
      </c>
      <c r="AM56" s="1498">
        <f>IFERROR(IF(OR(N57="ベア加算",N57=""),0, IF(OR(U54="新加算Ⅰ",U54="新加算Ⅱ",U54="新加算Ⅲ",U54="新加算Ⅳ"),0,ROUNDDOWN(ROUND(L54*VLOOKUP(K54,【参考】数式用!$A$5:$I$27,MATCH("ベア加算",【参考】数式用!$B$4:$I$4,0)+1,0),0)*M54,0)*AG56)),"")</f>
        <v>0</v>
      </c>
      <c r="AN56" s="1356" t="str">
        <f t="shared" ref="AN56" si="41">IF(AM56=0,"",IF(AND(U56&lt;&gt;"",AN54=""),"新規に適用",IF(AND(U56&lt;&gt;"",AN54&lt;&gt;""),"継続で適用","")))</f>
        <v/>
      </c>
      <c r="AO56" s="1356" t="str">
        <f>IF(AND(U56&lt;&gt;"",AO54=""),"新規に適用",IF(AND(U56&lt;&gt;"",AO54&lt;&gt;""),"継続で適用",""))</f>
        <v/>
      </c>
      <c r="AP56" s="1358"/>
      <c r="AQ56" s="1356" t="str">
        <f>IF(AND(U56&lt;&gt;"",AQ54=""),"新規に適用",IF(AND(U56&lt;&gt;"",AQ54&lt;&gt;""),"継続で適用",""))</f>
        <v/>
      </c>
      <c r="AR56" s="1344" t="str">
        <f t="shared" si="25"/>
        <v/>
      </c>
      <c r="AS56" s="1356" t="str">
        <f>IF(AND(U56&lt;&gt;"",AS54=""),"新規に適用",IF(AND(U56&lt;&gt;"",AS54&lt;&gt;""),"継続で適用",""))</f>
        <v/>
      </c>
      <c r="AT56" s="1331"/>
      <c r="AU56" s="651"/>
      <c r="AV56" s="1493" t="str">
        <f>IF(K54&lt;&gt;"","V列に色付け","")</f>
        <v/>
      </c>
      <c r="AW56" s="1518"/>
      <c r="AX56" s="1507"/>
      <c r="AY56" s="163"/>
      <c r="AZ56" s="163"/>
      <c r="BA56" s="163"/>
      <c r="BB56" s="163"/>
      <c r="BC56" s="163"/>
      <c r="BD56" s="163"/>
      <c r="BE56" s="163"/>
      <c r="BF56" s="163"/>
      <c r="BG56" s="163"/>
      <c r="BH56" s="163"/>
      <c r="BI56" s="163"/>
      <c r="BJ56" s="163"/>
      <c r="BK56" s="163"/>
      <c r="BL56" s="543" t="str">
        <f>G54</f>
        <v/>
      </c>
    </row>
    <row r="57" spans="1:64" ht="30" customHeight="1" thickBot="1">
      <c r="A57" s="1227"/>
      <c r="B57" s="1376"/>
      <c r="C57" s="1377"/>
      <c r="D57" s="1377"/>
      <c r="E57" s="1377"/>
      <c r="F57" s="1378"/>
      <c r="G57" s="1267"/>
      <c r="H57" s="1267"/>
      <c r="I57" s="1267"/>
      <c r="J57" s="1373"/>
      <c r="K57" s="1267"/>
      <c r="L57" s="1248"/>
      <c r="M57" s="1251"/>
      <c r="N57" s="650" t="str">
        <f>IF('別紙様式2-2（４・５月分）'!Q46="","",'別紙様式2-2（４・５月分）'!Q46)</f>
        <v/>
      </c>
      <c r="O57" s="1369"/>
      <c r="P57" s="1391"/>
      <c r="Q57" s="1387"/>
      <c r="R57" s="1389"/>
      <c r="S57" s="1395"/>
      <c r="T57" s="1460"/>
      <c r="U57" s="1462"/>
      <c r="V57" s="1464"/>
      <c r="W57" s="1466"/>
      <c r="X57" s="1509"/>
      <c r="Y57" s="1408"/>
      <c r="Z57" s="1509"/>
      <c r="AA57" s="1408"/>
      <c r="AB57" s="1509"/>
      <c r="AC57" s="1408"/>
      <c r="AD57" s="1509"/>
      <c r="AE57" s="1408"/>
      <c r="AF57" s="1408"/>
      <c r="AG57" s="1408"/>
      <c r="AH57" s="1410"/>
      <c r="AI57" s="1497"/>
      <c r="AJ57" s="1511"/>
      <c r="AK57" s="1495"/>
      <c r="AL57" s="1436"/>
      <c r="AM57" s="1499"/>
      <c r="AN57" s="1357"/>
      <c r="AO57" s="1357"/>
      <c r="AP57" s="1359"/>
      <c r="AQ57" s="1357"/>
      <c r="AR57" s="1345"/>
      <c r="AS57" s="1357"/>
      <c r="AT57" s="581" t="str">
        <f t="shared" ref="AT57" si="42">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51"/>
      <c r="AV57" s="1493"/>
      <c r="AW57" s="652" t="str">
        <f>IF('別紙様式2-2（４・５月分）'!O46="","",'別紙様式2-2（４・５月分）'!O46)</f>
        <v/>
      </c>
      <c r="AX57" s="1507"/>
      <c r="AY57" s="163"/>
      <c r="AZ57" s="163"/>
      <c r="BA57" s="163"/>
      <c r="BB57" s="163"/>
      <c r="BC57" s="163"/>
      <c r="BD57" s="163"/>
      <c r="BE57" s="163"/>
      <c r="BF57" s="163"/>
      <c r="BG57" s="163"/>
      <c r="BH57" s="163"/>
      <c r="BI57" s="163"/>
      <c r="BJ57" s="163"/>
      <c r="BK57" s="163"/>
      <c r="BL57" s="543" t="str">
        <f>G54</f>
        <v/>
      </c>
    </row>
    <row r="58" spans="1:64" ht="30" customHeight="1">
      <c r="A58" s="1241">
        <v>12</v>
      </c>
      <c r="B58" s="1272" t="str">
        <f>IF(基本情報入力シート!C65="","",基本情報入力シート!C65)</f>
        <v/>
      </c>
      <c r="C58" s="1261"/>
      <c r="D58" s="1261"/>
      <c r="E58" s="1261"/>
      <c r="F58" s="1262"/>
      <c r="G58" s="1266" t="str">
        <f>IF(基本情報入力シート!M65="","",基本情報入力シート!M65)</f>
        <v/>
      </c>
      <c r="H58" s="1266" t="str">
        <f>IF(基本情報入力シート!R65="","",基本情報入力シート!R65)</f>
        <v/>
      </c>
      <c r="I58" s="1266" t="str">
        <f>IF(基本情報入力シート!W65="","",基本情報入力シート!W65)</f>
        <v/>
      </c>
      <c r="J58" s="1372" t="str">
        <f>IF(基本情報入力シート!X65="","",基本情報入力シート!X65)</f>
        <v/>
      </c>
      <c r="K58" s="1266" t="str">
        <f>IF(基本情報入力シート!Y65="","",基本情報入力シート!Y65)</f>
        <v/>
      </c>
      <c r="L58" s="1247" t="str">
        <f>IF(基本情報入力シート!AB65="","",基本情報入力シート!AB65)</f>
        <v/>
      </c>
      <c r="M58" s="1374" t="str">
        <f>IF(基本情報入力シート!AC65="","",基本情報入力シート!AC65)</f>
        <v/>
      </c>
      <c r="N58" s="647" t="str">
        <f>IF('別紙様式2-2（４・５月分）'!Q47="","",'別紙様式2-2（４・５月分）'!Q47)</f>
        <v/>
      </c>
      <c r="O58" s="1366" t="str">
        <f>IF(SUM('別紙様式2-2（４・５月分）'!R47:R49)=0,"",SUM('別紙様式2-2（４・５月分）'!R47:R49))</f>
        <v/>
      </c>
      <c r="P58" s="1380" t="str">
        <f>IFERROR(VLOOKUP('別紙様式2-2（４・５月分）'!AR47,【参考】数式用!$AT$5:$AU$22,2,FALSE),"")</f>
        <v/>
      </c>
      <c r="Q58" s="1381"/>
      <c r="R58" s="1382"/>
      <c r="S58" s="1392" t="str">
        <f>IFERROR(VLOOKUP(K58,【参考】数式用!$A$5:$AB$27,MATCH(P58,【参考】数式用!$B$4:$AB$4,0)+1,0),"")</f>
        <v/>
      </c>
      <c r="T58" s="1413" t="s">
        <v>2173</v>
      </c>
      <c r="U58" s="1415"/>
      <c r="V58" s="1457" t="str">
        <f>IFERROR(VLOOKUP(K58,【参考】数式用!$A$5:$AB$27,MATCH(U58,【参考】数式用!$B$4:$AB$4,0)+1,0),"")</f>
        <v/>
      </c>
      <c r="W58" s="1350" t="s">
        <v>19</v>
      </c>
      <c r="X58" s="1352">
        <v>6</v>
      </c>
      <c r="Y58" s="1354" t="s">
        <v>10</v>
      </c>
      <c r="Z58" s="1352">
        <v>6</v>
      </c>
      <c r="AA58" s="1354" t="s">
        <v>45</v>
      </c>
      <c r="AB58" s="1352">
        <v>7</v>
      </c>
      <c r="AC58" s="1354" t="s">
        <v>10</v>
      </c>
      <c r="AD58" s="1352">
        <v>3</v>
      </c>
      <c r="AE58" s="1354" t="s">
        <v>13</v>
      </c>
      <c r="AF58" s="1354" t="s">
        <v>24</v>
      </c>
      <c r="AG58" s="1354">
        <f>IF(X58&gt;=1,(AB58*12+AD58)-(X58*12+Z58)+1,"")</f>
        <v>10</v>
      </c>
      <c r="AH58" s="1360" t="s">
        <v>38</v>
      </c>
      <c r="AI58" s="1481" t="str">
        <f>IFERROR(ROUNDDOWN(ROUND(L58*V58,0)*M58,0)*AG58,"")</f>
        <v/>
      </c>
      <c r="AJ58" s="1483" t="str">
        <f>IFERROR(ROUNDDOWN(ROUND((L58*(V58-AX58)),0)*M58,0)*AG58,"")</f>
        <v/>
      </c>
      <c r="AK58" s="1485">
        <f>IFERROR(IF(OR(N58="",N59="",N61=""),0,ROUNDDOWN(ROUNDDOWN(ROUND(L58*VLOOKUP(K58,【参考】数式用!$A$5:$AB$27,MATCH("新加算Ⅳ",【参考】数式用!$B$4:$AB$4,0)+1,0),0)*M58,0)*AG58*0.5,0)),"")</f>
        <v>0</v>
      </c>
      <c r="AL58" s="1433"/>
      <c r="AM58" s="1487">
        <f>IFERROR(IF(OR(N61="ベア加算",N61=""),0, IF(OR(U58="新加算Ⅰ",U58="新加算Ⅱ",U58="新加算Ⅲ",U58="新加算Ⅳ"),ROUNDDOWN(ROUND(L58*VLOOKUP(K58,【参考】数式用!$A$5:$I$27,MATCH("ベア加算",【参考】数式用!$B$4:$I$4,0)+1,0),0)*M58,0)*AG58,0)),"")</f>
        <v>0</v>
      </c>
      <c r="AN58" s="1502"/>
      <c r="AO58" s="1364"/>
      <c r="AP58" s="1403"/>
      <c r="AQ58" s="1403"/>
      <c r="AR58" s="1489"/>
      <c r="AS58" s="1491"/>
      <c r="AT58" s="556" t="str">
        <f t="shared" si="0"/>
        <v/>
      </c>
      <c r="AU58" s="651"/>
      <c r="AV58" s="1493" t="str">
        <f>IF(K58&lt;&gt;"","V列に色付け","")</f>
        <v/>
      </c>
      <c r="AW58" s="652" t="str">
        <f>IF('別紙様式2-2（４・５月分）'!O47="","",'別紙様式2-2（４・５月分）'!O47)</f>
        <v/>
      </c>
      <c r="AX58" s="1507" t="str">
        <f>IF(SUM('別紙様式2-2（４・５月分）'!P47:P49)=0,"",SUM('別紙様式2-2（４・５月分）'!P47:P49))</f>
        <v/>
      </c>
      <c r="AY58" s="1506" t="str">
        <f>IFERROR(VLOOKUP(K58,【参考】数式用!$AJ$2:$AK$24,2,FALSE),"")</f>
        <v/>
      </c>
      <c r="AZ58" s="1321" t="s">
        <v>2098</v>
      </c>
      <c r="BA58" s="1321" t="s">
        <v>2099</v>
      </c>
      <c r="BB58" s="1321" t="s">
        <v>2100</v>
      </c>
      <c r="BC58" s="1321" t="s">
        <v>2101</v>
      </c>
      <c r="BD58" s="1321" t="str">
        <f>IF(AND(P58&lt;&gt;"新加算Ⅰ",P58&lt;&gt;"新加算Ⅱ",P58&lt;&gt;"新加算Ⅲ",P58&lt;&gt;"新加算Ⅳ"),P58,IF(Q60&lt;&gt;"",Q60,""))</f>
        <v/>
      </c>
      <c r="BE58" s="1321"/>
      <c r="BF58" s="1321" t="str">
        <f t="shared" ref="BF58" si="43">IF(AM58&lt;&gt;0,IF(AN58="○","入力済","未入力"),"")</f>
        <v/>
      </c>
      <c r="BG58" s="1321"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321" t="str">
        <f>IF(OR(U58="新加算Ⅴ（７）",U58="新加算Ⅴ（９）",U58="新加算Ⅴ（10）",U58="新加算Ⅴ（12）",U58="新加算Ⅴ（13）",U58="新加算Ⅴ（14）"),IF(OR(AP58="○",AP58="令和６年度中に満たす"),"入力済","未入力"),"")</f>
        <v/>
      </c>
      <c r="BI58" s="1321" t="str">
        <f>IF(OR(U58="新加算Ⅰ",U58="新加算Ⅱ",U58="新加算Ⅲ",U58="新加算Ⅴ（１）",U58="新加算Ⅴ（３）",U58="新加算Ⅴ（８）"),IF(OR(AQ58="○",AQ58="令和６年度中に満たす"),"入力済","未入力"),"")</f>
        <v/>
      </c>
      <c r="BJ58" s="1512"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493" t="str">
        <f>IF(OR(U58="新加算Ⅰ",U58="新加算Ⅴ（１）",U58="新加算Ⅴ（２）",U58="新加算Ⅴ（５）",U58="新加算Ⅴ（７）",U58="新加算Ⅴ（10）"),IF(AS58="","未入力","入力済"),"")</f>
        <v/>
      </c>
      <c r="BL58" s="543" t="str">
        <f>G58</f>
        <v/>
      </c>
    </row>
    <row r="59" spans="1:64" ht="15" customHeight="1">
      <c r="A59" s="1226"/>
      <c r="B59" s="1272"/>
      <c r="C59" s="1261"/>
      <c r="D59" s="1261"/>
      <c r="E59" s="1261"/>
      <c r="F59" s="1262"/>
      <c r="G59" s="1266"/>
      <c r="H59" s="1266"/>
      <c r="I59" s="1266"/>
      <c r="J59" s="1372"/>
      <c r="K59" s="1266"/>
      <c r="L59" s="1247"/>
      <c r="M59" s="1374"/>
      <c r="N59" s="1370" t="str">
        <f>IF('別紙様式2-2（４・５月分）'!Q48="","",'別紙様式2-2（４・５月分）'!Q48)</f>
        <v/>
      </c>
      <c r="O59" s="1367"/>
      <c r="P59" s="1383"/>
      <c r="Q59" s="1384"/>
      <c r="R59" s="1385"/>
      <c r="S59" s="1393"/>
      <c r="T59" s="1414"/>
      <c r="U59" s="1416"/>
      <c r="V59" s="1458"/>
      <c r="W59" s="1351"/>
      <c r="X59" s="1353"/>
      <c r="Y59" s="1355"/>
      <c r="Z59" s="1353"/>
      <c r="AA59" s="1355"/>
      <c r="AB59" s="1353"/>
      <c r="AC59" s="1355"/>
      <c r="AD59" s="1353"/>
      <c r="AE59" s="1355"/>
      <c r="AF59" s="1355"/>
      <c r="AG59" s="1355"/>
      <c r="AH59" s="1361"/>
      <c r="AI59" s="1482"/>
      <c r="AJ59" s="1484"/>
      <c r="AK59" s="1486"/>
      <c r="AL59" s="1434"/>
      <c r="AM59" s="1488"/>
      <c r="AN59" s="1503"/>
      <c r="AO59" s="1365"/>
      <c r="AP59" s="1404"/>
      <c r="AQ59" s="1404"/>
      <c r="AR59" s="1490"/>
      <c r="AS59" s="1492"/>
      <c r="AT59" s="1331" t="str">
        <f t="shared" si="2"/>
        <v/>
      </c>
      <c r="AU59" s="651"/>
      <c r="AV59" s="1493"/>
      <c r="AW59" s="1518" t="str">
        <f>IF('別紙様式2-2（４・５月分）'!O48="","",'別紙様式2-2（４・５月分）'!O48)</f>
        <v/>
      </c>
      <c r="AX59" s="1507"/>
      <c r="AY59" s="1506"/>
      <c r="AZ59" s="1321"/>
      <c r="BA59" s="1321"/>
      <c r="BB59" s="1321"/>
      <c r="BC59" s="1321"/>
      <c r="BD59" s="1321"/>
      <c r="BE59" s="1321"/>
      <c r="BF59" s="1321"/>
      <c r="BG59" s="1321"/>
      <c r="BH59" s="1321"/>
      <c r="BI59" s="1321"/>
      <c r="BJ59" s="1512"/>
      <c r="BK59" s="1493"/>
      <c r="BL59" s="543" t="str">
        <f>G58</f>
        <v/>
      </c>
    </row>
    <row r="60" spans="1:64" ht="15" customHeight="1">
      <c r="A60" s="1240"/>
      <c r="B60" s="1272"/>
      <c r="C60" s="1261"/>
      <c r="D60" s="1261"/>
      <c r="E60" s="1261"/>
      <c r="F60" s="1262"/>
      <c r="G60" s="1266"/>
      <c r="H60" s="1266"/>
      <c r="I60" s="1266"/>
      <c r="J60" s="1372"/>
      <c r="K60" s="1266"/>
      <c r="L60" s="1247"/>
      <c r="M60" s="1374"/>
      <c r="N60" s="1371"/>
      <c r="O60" s="1368"/>
      <c r="P60" s="1390" t="s">
        <v>2179</v>
      </c>
      <c r="Q60" s="1386" t="str">
        <f>IFERROR(VLOOKUP('別紙様式2-2（４・５月分）'!AR47,【参考】数式用!$AT$5:$AV$22,3,FALSE),"")</f>
        <v/>
      </c>
      <c r="R60" s="1388" t="s">
        <v>2190</v>
      </c>
      <c r="S60" s="1394" t="str">
        <f>IFERROR(VLOOKUP(K58,【参考】数式用!$A$5:$AB$27,MATCH(Q60,【参考】数式用!$B$4:$AB$4,0)+1,0),"")</f>
        <v/>
      </c>
      <c r="T60" s="1459" t="s">
        <v>217</v>
      </c>
      <c r="U60" s="1461"/>
      <c r="V60" s="1463" t="str">
        <f>IFERROR(VLOOKUP(K58,【参考】数式用!$A$5:$AB$27,MATCH(U60,【参考】数式用!$B$4:$AB$4,0)+1,0),"")</f>
        <v/>
      </c>
      <c r="W60" s="1465" t="s">
        <v>19</v>
      </c>
      <c r="X60" s="1508">
        <v>7</v>
      </c>
      <c r="Y60" s="1407" t="s">
        <v>10</v>
      </c>
      <c r="Z60" s="1508">
        <v>4</v>
      </c>
      <c r="AA60" s="1407" t="s">
        <v>45</v>
      </c>
      <c r="AB60" s="1508">
        <v>8</v>
      </c>
      <c r="AC60" s="1407" t="s">
        <v>10</v>
      </c>
      <c r="AD60" s="1508">
        <v>3</v>
      </c>
      <c r="AE60" s="1407" t="s">
        <v>13</v>
      </c>
      <c r="AF60" s="1407" t="s">
        <v>24</v>
      </c>
      <c r="AG60" s="1407">
        <f>IF(X60&gt;=1,(AB60*12+AD60)-(X60*12+Z60)+1,"")</f>
        <v>12</v>
      </c>
      <c r="AH60" s="1409" t="s">
        <v>38</v>
      </c>
      <c r="AI60" s="1496" t="str">
        <f>IFERROR(ROUNDDOWN(ROUND(L58*V60,0)*M58,0)*AG60,"")</f>
        <v/>
      </c>
      <c r="AJ60" s="1510" t="str">
        <f>IFERROR(ROUNDDOWN(ROUND((L58*(V60-AX58)),0)*M58,0)*AG60,"")</f>
        <v/>
      </c>
      <c r="AK60" s="1494">
        <f>IFERROR(IF(OR(N58="",N59="",N61=""),0,ROUNDDOWN(ROUNDDOWN(ROUND(L58*VLOOKUP(K58,【参考】数式用!$A$5:$AB$27,MATCH("新加算Ⅳ",【参考】数式用!$B$4:$AB$4,0)+1,0),0)*M58,0)*AG60*0.5,0)),"")</f>
        <v>0</v>
      </c>
      <c r="AL60" s="1435" t="str">
        <f t="shared" ref="AL60" si="44">IF(U60&lt;&gt;"","新規に適用","")</f>
        <v/>
      </c>
      <c r="AM60" s="1498">
        <f>IFERROR(IF(OR(N61="ベア加算",N61=""),0, IF(OR(U58="新加算Ⅰ",U58="新加算Ⅱ",U58="新加算Ⅲ",U58="新加算Ⅳ"),0,ROUNDDOWN(ROUND(L58*VLOOKUP(K58,【参考】数式用!$A$5:$I$27,MATCH("ベア加算",【参考】数式用!$B$4:$I$4,0)+1,0),0)*M58,0)*AG60)),"")</f>
        <v>0</v>
      </c>
      <c r="AN60" s="1356" t="str">
        <f t="shared" ref="AN60" si="45">IF(AM60=0,"",IF(AND(U60&lt;&gt;"",AN58=""),"新規に適用",IF(AND(U60&lt;&gt;"",AN58&lt;&gt;""),"継続で適用","")))</f>
        <v/>
      </c>
      <c r="AO60" s="1356" t="str">
        <f>IF(AND(U60&lt;&gt;"",AO58=""),"新規に適用",IF(AND(U60&lt;&gt;"",AO58&lt;&gt;""),"継続で適用",""))</f>
        <v/>
      </c>
      <c r="AP60" s="1358"/>
      <c r="AQ60" s="1356" t="str">
        <f>IF(AND(U60&lt;&gt;"",AQ58=""),"新規に適用",IF(AND(U60&lt;&gt;"",AQ58&lt;&gt;""),"継続で適用",""))</f>
        <v/>
      </c>
      <c r="AR60" s="1344" t="str">
        <f t="shared" si="25"/>
        <v/>
      </c>
      <c r="AS60" s="1356" t="str">
        <f>IF(AND(U60&lt;&gt;"",AS58=""),"新規に適用",IF(AND(U60&lt;&gt;"",AS58&lt;&gt;""),"継続で適用",""))</f>
        <v/>
      </c>
      <c r="AT60" s="1331"/>
      <c r="AU60" s="651"/>
      <c r="AV60" s="1493" t="str">
        <f>IF(K58&lt;&gt;"","V列に色付け","")</f>
        <v/>
      </c>
      <c r="AW60" s="1518"/>
      <c r="AX60" s="1507"/>
      <c r="AY60" s="163"/>
      <c r="AZ60" s="163"/>
      <c r="BA60" s="163"/>
      <c r="BB60" s="163"/>
      <c r="BC60" s="163"/>
      <c r="BD60" s="163"/>
      <c r="BE60" s="163"/>
      <c r="BF60" s="163"/>
      <c r="BG60" s="163"/>
      <c r="BH60" s="163"/>
      <c r="BI60" s="163"/>
      <c r="BJ60" s="163"/>
      <c r="BK60" s="163"/>
      <c r="BL60" s="543" t="str">
        <f>G58</f>
        <v/>
      </c>
    </row>
    <row r="61" spans="1:64" ht="30" customHeight="1" thickBot="1">
      <c r="A61" s="1227"/>
      <c r="B61" s="1376"/>
      <c r="C61" s="1377"/>
      <c r="D61" s="1377"/>
      <c r="E61" s="1377"/>
      <c r="F61" s="1378"/>
      <c r="G61" s="1267"/>
      <c r="H61" s="1267"/>
      <c r="I61" s="1267"/>
      <c r="J61" s="1373"/>
      <c r="K61" s="1267"/>
      <c r="L61" s="1248"/>
      <c r="M61" s="1375"/>
      <c r="N61" s="650" t="str">
        <f>IF('別紙様式2-2（４・５月分）'!Q49="","",'別紙様式2-2（４・５月分）'!Q49)</f>
        <v/>
      </c>
      <c r="O61" s="1369"/>
      <c r="P61" s="1391"/>
      <c r="Q61" s="1387"/>
      <c r="R61" s="1389"/>
      <c r="S61" s="1395"/>
      <c r="T61" s="1460"/>
      <c r="U61" s="1462"/>
      <c r="V61" s="1464"/>
      <c r="W61" s="1466"/>
      <c r="X61" s="1509"/>
      <c r="Y61" s="1408"/>
      <c r="Z61" s="1509"/>
      <c r="AA61" s="1408"/>
      <c r="AB61" s="1509"/>
      <c r="AC61" s="1408"/>
      <c r="AD61" s="1509"/>
      <c r="AE61" s="1408"/>
      <c r="AF61" s="1408"/>
      <c r="AG61" s="1408"/>
      <c r="AH61" s="1410"/>
      <c r="AI61" s="1497"/>
      <c r="AJ61" s="1511"/>
      <c r="AK61" s="1495"/>
      <c r="AL61" s="1436"/>
      <c r="AM61" s="1499"/>
      <c r="AN61" s="1357"/>
      <c r="AO61" s="1357"/>
      <c r="AP61" s="1359"/>
      <c r="AQ61" s="1357"/>
      <c r="AR61" s="1345"/>
      <c r="AS61" s="1357"/>
      <c r="AT61" s="581" t="str">
        <f t="shared" ref="AT61" si="46">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51"/>
      <c r="AV61" s="1493"/>
      <c r="AW61" s="652" t="str">
        <f>IF('別紙様式2-2（４・５月分）'!O49="","",'別紙様式2-2（４・５月分）'!O49)</f>
        <v/>
      </c>
      <c r="AX61" s="1507"/>
      <c r="AY61" s="163"/>
      <c r="AZ61" s="163"/>
      <c r="BA61" s="163"/>
      <c r="BB61" s="163"/>
      <c r="BC61" s="163"/>
      <c r="BD61" s="163"/>
      <c r="BE61" s="163"/>
      <c r="BF61" s="163"/>
      <c r="BG61" s="163"/>
      <c r="BH61" s="163"/>
      <c r="BI61" s="163"/>
      <c r="BJ61" s="163"/>
      <c r="BK61" s="163"/>
      <c r="BL61" s="543" t="str">
        <f>G58</f>
        <v/>
      </c>
    </row>
    <row r="62" spans="1:64" ht="30" customHeight="1">
      <c r="A62" s="1225">
        <v>13</v>
      </c>
      <c r="B62" s="1271" t="str">
        <f>IF(基本情報入力シート!C66="","",基本情報入力シート!C66)</f>
        <v/>
      </c>
      <c r="C62" s="1259"/>
      <c r="D62" s="1259"/>
      <c r="E62" s="1259"/>
      <c r="F62" s="1260"/>
      <c r="G62" s="1265" t="str">
        <f>IF(基本情報入力シート!M66="","",基本情報入力シート!M66)</f>
        <v/>
      </c>
      <c r="H62" s="1265" t="str">
        <f>IF(基本情報入力シート!R66="","",基本情報入力シート!R66)</f>
        <v/>
      </c>
      <c r="I62" s="1265" t="str">
        <f>IF(基本情報入力シート!W66="","",基本情報入力シート!W66)</f>
        <v/>
      </c>
      <c r="J62" s="1379" t="str">
        <f>IF(基本情報入力シート!X66="","",基本情報入力シート!X66)</f>
        <v/>
      </c>
      <c r="K62" s="1265" t="str">
        <f>IF(基本情報入力シート!Y66="","",基本情報入力シート!Y66)</f>
        <v/>
      </c>
      <c r="L62" s="1246" t="str">
        <f>IF(基本情報入力シート!AB66="","",基本情報入力シート!AB66)</f>
        <v/>
      </c>
      <c r="M62" s="1249" t="str">
        <f>IF(基本情報入力シート!AC66="","",基本情報入力シート!AC66)</f>
        <v/>
      </c>
      <c r="N62" s="647" t="str">
        <f>IF('別紙様式2-2（４・５月分）'!Q50="","",'別紙様式2-2（４・５月分）'!Q50)</f>
        <v/>
      </c>
      <c r="O62" s="1366" t="str">
        <f>IF(SUM('別紙様式2-2（４・５月分）'!R50:R52)=0,"",SUM('別紙様式2-2（４・５月分）'!R50:R52))</f>
        <v/>
      </c>
      <c r="P62" s="1380" t="str">
        <f>IFERROR(VLOOKUP('別紙様式2-2（４・５月分）'!AR50,【参考】数式用!$AT$5:$AU$22,2,FALSE),"")</f>
        <v/>
      </c>
      <c r="Q62" s="1381"/>
      <c r="R62" s="1382"/>
      <c r="S62" s="1392" t="str">
        <f>IFERROR(VLOOKUP(K62,【参考】数式用!$A$5:$AB$27,MATCH(P62,【参考】数式用!$B$4:$AB$4,0)+1,0),"")</f>
        <v/>
      </c>
      <c r="T62" s="1413" t="s">
        <v>2173</v>
      </c>
      <c r="U62" s="1415"/>
      <c r="V62" s="1457" t="str">
        <f>IFERROR(VLOOKUP(K62,【参考】数式用!$A$5:$AB$27,MATCH(U62,【参考】数式用!$B$4:$AB$4,0)+1,0),"")</f>
        <v/>
      </c>
      <c r="W62" s="1350" t="s">
        <v>19</v>
      </c>
      <c r="X62" s="1352">
        <v>6</v>
      </c>
      <c r="Y62" s="1354" t="s">
        <v>10</v>
      </c>
      <c r="Z62" s="1352">
        <v>6</v>
      </c>
      <c r="AA62" s="1354" t="s">
        <v>45</v>
      </c>
      <c r="AB62" s="1352">
        <v>7</v>
      </c>
      <c r="AC62" s="1354" t="s">
        <v>10</v>
      </c>
      <c r="AD62" s="1352">
        <v>3</v>
      </c>
      <c r="AE62" s="1354" t="s">
        <v>13</v>
      </c>
      <c r="AF62" s="1354" t="s">
        <v>24</v>
      </c>
      <c r="AG62" s="1354">
        <f>IF(X62&gt;=1,(AB62*12+AD62)-(X62*12+Z62)+1,"")</f>
        <v>10</v>
      </c>
      <c r="AH62" s="1360" t="s">
        <v>38</v>
      </c>
      <c r="AI62" s="1481" t="str">
        <f>IFERROR(ROUNDDOWN(ROUND(L62*V62,0)*M62,0)*AG62,"")</f>
        <v/>
      </c>
      <c r="AJ62" s="1483" t="str">
        <f>IFERROR(ROUNDDOWN(ROUND((L62*(V62-AX62)),0)*M62,0)*AG62,"")</f>
        <v/>
      </c>
      <c r="AK62" s="1485">
        <f>IFERROR(IF(OR(N62="",N63="",N65=""),0,ROUNDDOWN(ROUNDDOWN(ROUND(L62*VLOOKUP(K62,【参考】数式用!$A$5:$AB$27,MATCH("新加算Ⅳ",【参考】数式用!$B$4:$AB$4,0)+1,0),0)*M62,0)*AG62*0.5,0)),"")</f>
        <v>0</v>
      </c>
      <c r="AL62" s="1433"/>
      <c r="AM62" s="1487">
        <f>IFERROR(IF(OR(N65="ベア加算",N65=""),0, IF(OR(U62="新加算Ⅰ",U62="新加算Ⅱ",U62="新加算Ⅲ",U62="新加算Ⅳ"),ROUNDDOWN(ROUND(L62*VLOOKUP(K62,【参考】数式用!$A$5:$I$27,MATCH("ベア加算",【参考】数式用!$B$4:$I$4,0)+1,0),0)*M62,0)*AG62,0)),"")</f>
        <v>0</v>
      </c>
      <c r="AN62" s="1502"/>
      <c r="AO62" s="1364"/>
      <c r="AP62" s="1403"/>
      <c r="AQ62" s="1403"/>
      <c r="AR62" s="1489"/>
      <c r="AS62" s="1491"/>
      <c r="AT62" s="556" t="str">
        <f t="shared" si="0"/>
        <v/>
      </c>
      <c r="AU62" s="651"/>
      <c r="AV62" s="1493" t="str">
        <f>IF(K62&lt;&gt;"","V列に色付け","")</f>
        <v/>
      </c>
      <c r="AW62" s="652" t="str">
        <f>IF('別紙様式2-2（４・５月分）'!O50="","",'別紙様式2-2（４・５月分）'!O50)</f>
        <v/>
      </c>
      <c r="AX62" s="1507" t="str">
        <f>IF(SUM('別紙様式2-2（４・５月分）'!P50:P52)=0,"",SUM('別紙様式2-2（４・５月分）'!P50:P52))</f>
        <v/>
      </c>
      <c r="AY62" s="1506" t="str">
        <f>IFERROR(VLOOKUP(K62,【参考】数式用!$AJ$2:$AK$24,2,FALSE),"")</f>
        <v/>
      </c>
      <c r="AZ62" s="1321" t="s">
        <v>2098</v>
      </c>
      <c r="BA62" s="1321" t="s">
        <v>2099</v>
      </c>
      <c r="BB62" s="1321" t="s">
        <v>2100</v>
      </c>
      <c r="BC62" s="1321" t="s">
        <v>2101</v>
      </c>
      <c r="BD62" s="1321" t="str">
        <f>IF(AND(P62&lt;&gt;"新加算Ⅰ",P62&lt;&gt;"新加算Ⅱ",P62&lt;&gt;"新加算Ⅲ",P62&lt;&gt;"新加算Ⅳ"),P62,IF(Q64&lt;&gt;"",Q64,""))</f>
        <v/>
      </c>
      <c r="BE62" s="1321"/>
      <c r="BF62" s="1321" t="str">
        <f t="shared" ref="BF62" si="47">IF(AM62&lt;&gt;0,IF(AN62="○","入力済","未入力"),"")</f>
        <v/>
      </c>
      <c r="BG62" s="1321"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321" t="str">
        <f>IF(OR(U62="新加算Ⅴ（７）",U62="新加算Ⅴ（９）",U62="新加算Ⅴ（10）",U62="新加算Ⅴ（12）",U62="新加算Ⅴ（13）",U62="新加算Ⅴ（14）"),IF(OR(AP62="○",AP62="令和６年度中に満たす"),"入力済","未入力"),"")</f>
        <v/>
      </c>
      <c r="BI62" s="1321" t="str">
        <f>IF(OR(U62="新加算Ⅰ",U62="新加算Ⅱ",U62="新加算Ⅲ",U62="新加算Ⅴ（１）",U62="新加算Ⅴ（３）",U62="新加算Ⅴ（８）"),IF(OR(AQ62="○",AQ62="令和６年度中に満たす"),"入力済","未入力"),"")</f>
        <v/>
      </c>
      <c r="BJ62" s="1512"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493" t="str">
        <f>IF(OR(U62="新加算Ⅰ",U62="新加算Ⅴ（１）",U62="新加算Ⅴ（２）",U62="新加算Ⅴ（５）",U62="新加算Ⅴ（７）",U62="新加算Ⅴ（10）"),IF(AS62="","未入力","入力済"),"")</f>
        <v/>
      </c>
      <c r="BL62" s="543" t="str">
        <f>G62</f>
        <v/>
      </c>
    </row>
    <row r="63" spans="1:64" ht="15" customHeight="1">
      <c r="A63" s="1226"/>
      <c r="B63" s="1272"/>
      <c r="C63" s="1261"/>
      <c r="D63" s="1261"/>
      <c r="E63" s="1261"/>
      <c r="F63" s="1262"/>
      <c r="G63" s="1266"/>
      <c r="H63" s="1266"/>
      <c r="I63" s="1266"/>
      <c r="J63" s="1372"/>
      <c r="K63" s="1266"/>
      <c r="L63" s="1247"/>
      <c r="M63" s="1250"/>
      <c r="N63" s="1370" t="str">
        <f>IF('別紙様式2-2（４・５月分）'!Q51="","",'別紙様式2-2（４・５月分）'!Q51)</f>
        <v/>
      </c>
      <c r="O63" s="1367"/>
      <c r="P63" s="1383"/>
      <c r="Q63" s="1384"/>
      <c r="R63" s="1385"/>
      <c r="S63" s="1393"/>
      <c r="T63" s="1414"/>
      <c r="U63" s="1416"/>
      <c r="V63" s="1458"/>
      <c r="W63" s="1351"/>
      <c r="X63" s="1353"/>
      <c r="Y63" s="1355"/>
      <c r="Z63" s="1353"/>
      <c r="AA63" s="1355"/>
      <c r="AB63" s="1353"/>
      <c r="AC63" s="1355"/>
      <c r="AD63" s="1353"/>
      <c r="AE63" s="1355"/>
      <c r="AF63" s="1355"/>
      <c r="AG63" s="1355"/>
      <c r="AH63" s="1361"/>
      <c r="AI63" s="1482"/>
      <c r="AJ63" s="1484"/>
      <c r="AK63" s="1486"/>
      <c r="AL63" s="1434"/>
      <c r="AM63" s="1488"/>
      <c r="AN63" s="1503"/>
      <c r="AO63" s="1365"/>
      <c r="AP63" s="1404"/>
      <c r="AQ63" s="1404"/>
      <c r="AR63" s="1490"/>
      <c r="AS63" s="1492"/>
      <c r="AT63" s="1331" t="str">
        <f t="shared" si="2"/>
        <v/>
      </c>
      <c r="AU63" s="651"/>
      <c r="AV63" s="1493"/>
      <c r="AW63" s="1518" t="str">
        <f>IF('別紙様式2-2（４・５月分）'!O51="","",'別紙様式2-2（４・５月分）'!O51)</f>
        <v/>
      </c>
      <c r="AX63" s="1507"/>
      <c r="AY63" s="1506"/>
      <c r="AZ63" s="1321"/>
      <c r="BA63" s="1321"/>
      <c r="BB63" s="1321"/>
      <c r="BC63" s="1321"/>
      <c r="BD63" s="1321"/>
      <c r="BE63" s="1321"/>
      <c r="BF63" s="1321"/>
      <c r="BG63" s="1321"/>
      <c r="BH63" s="1321"/>
      <c r="BI63" s="1321"/>
      <c r="BJ63" s="1512"/>
      <c r="BK63" s="1493"/>
      <c r="BL63" s="543" t="str">
        <f>G62</f>
        <v/>
      </c>
    </row>
    <row r="64" spans="1:64" ht="15" customHeight="1">
      <c r="A64" s="1240"/>
      <c r="B64" s="1272"/>
      <c r="C64" s="1261"/>
      <c r="D64" s="1261"/>
      <c r="E64" s="1261"/>
      <c r="F64" s="1262"/>
      <c r="G64" s="1266"/>
      <c r="H64" s="1266"/>
      <c r="I64" s="1266"/>
      <c r="J64" s="1372"/>
      <c r="K64" s="1266"/>
      <c r="L64" s="1247"/>
      <c r="M64" s="1250"/>
      <c r="N64" s="1371"/>
      <c r="O64" s="1368"/>
      <c r="P64" s="1390" t="s">
        <v>2179</v>
      </c>
      <c r="Q64" s="1386" t="str">
        <f>IFERROR(VLOOKUP('別紙様式2-2（４・５月分）'!AR50,【参考】数式用!$AT$5:$AV$22,3,FALSE),"")</f>
        <v/>
      </c>
      <c r="R64" s="1388" t="s">
        <v>2190</v>
      </c>
      <c r="S64" s="1396" t="str">
        <f>IFERROR(VLOOKUP(K62,【参考】数式用!$A$5:$AB$27,MATCH(Q64,【参考】数式用!$B$4:$AB$4,0)+1,0),"")</f>
        <v/>
      </c>
      <c r="T64" s="1459" t="s">
        <v>217</v>
      </c>
      <c r="U64" s="1461"/>
      <c r="V64" s="1463" t="str">
        <f>IFERROR(VLOOKUP(K62,【参考】数式用!$A$5:$AB$27,MATCH(U64,【参考】数式用!$B$4:$AB$4,0)+1,0),"")</f>
        <v/>
      </c>
      <c r="W64" s="1465" t="s">
        <v>19</v>
      </c>
      <c r="X64" s="1508">
        <v>7</v>
      </c>
      <c r="Y64" s="1407" t="s">
        <v>10</v>
      </c>
      <c r="Z64" s="1508">
        <v>4</v>
      </c>
      <c r="AA64" s="1407" t="s">
        <v>45</v>
      </c>
      <c r="AB64" s="1508">
        <v>8</v>
      </c>
      <c r="AC64" s="1407" t="s">
        <v>10</v>
      </c>
      <c r="AD64" s="1508">
        <v>3</v>
      </c>
      <c r="AE64" s="1407" t="s">
        <v>13</v>
      </c>
      <c r="AF64" s="1407" t="s">
        <v>24</v>
      </c>
      <c r="AG64" s="1407">
        <f>IF(X64&gt;=1,(AB64*12+AD64)-(X64*12+Z64)+1,"")</f>
        <v>12</v>
      </c>
      <c r="AH64" s="1409" t="s">
        <v>38</v>
      </c>
      <c r="AI64" s="1496" t="str">
        <f>IFERROR(ROUNDDOWN(ROUND(L62*V64,0)*M62,0)*AG64,"")</f>
        <v/>
      </c>
      <c r="AJ64" s="1510" t="str">
        <f>IFERROR(ROUNDDOWN(ROUND((L62*(V64-AX62)),0)*M62,0)*AG64,"")</f>
        <v/>
      </c>
      <c r="AK64" s="1494">
        <f>IFERROR(IF(OR(N62="",N63="",N65=""),0,ROUNDDOWN(ROUNDDOWN(ROUND(L62*VLOOKUP(K62,【参考】数式用!$A$5:$AB$27,MATCH("新加算Ⅳ",【参考】数式用!$B$4:$AB$4,0)+1,0),0)*M62,0)*AG64*0.5,0)),"")</f>
        <v>0</v>
      </c>
      <c r="AL64" s="1435" t="str">
        <f t="shared" ref="AL64" si="48">IF(U64&lt;&gt;"","新規に適用","")</f>
        <v/>
      </c>
      <c r="AM64" s="1498">
        <f>IFERROR(IF(OR(N65="ベア加算",N65=""),0, IF(OR(U62="新加算Ⅰ",U62="新加算Ⅱ",U62="新加算Ⅲ",U62="新加算Ⅳ"),0,ROUNDDOWN(ROUND(L62*VLOOKUP(K62,【参考】数式用!$A$5:$I$27,MATCH("ベア加算",【参考】数式用!$B$4:$I$4,0)+1,0),0)*M62,0)*AG64)),"")</f>
        <v>0</v>
      </c>
      <c r="AN64" s="1356" t="str">
        <f t="shared" ref="AN64" si="49">IF(AM64=0,"",IF(AND(U64&lt;&gt;"",AN62=""),"新規に適用",IF(AND(U64&lt;&gt;"",AN62&lt;&gt;""),"継続で適用","")))</f>
        <v/>
      </c>
      <c r="AO64" s="1356" t="str">
        <f>IF(AND(U64&lt;&gt;"",AO62=""),"新規に適用",IF(AND(U64&lt;&gt;"",AO62&lt;&gt;""),"継続で適用",""))</f>
        <v/>
      </c>
      <c r="AP64" s="1358"/>
      <c r="AQ64" s="1356" t="str">
        <f>IF(AND(U64&lt;&gt;"",AQ62=""),"新規に適用",IF(AND(U64&lt;&gt;"",AQ62&lt;&gt;""),"継続で適用",""))</f>
        <v/>
      </c>
      <c r="AR64" s="1344" t="str">
        <f t="shared" si="25"/>
        <v/>
      </c>
      <c r="AS64" s="1356" t="str">
        <f>IF(AND(U64&lt;&gt;"",AS62=""),"新規に適用",IF(AND(U64&lt;&gt;"",AS62&lt;&gt;""),"継続で適用",""))</f>
        <v/>
      </c>
      <c r="AT64" s="1331"/>
      <c r="AU64" s="651"/>
      <c r="AV64" s="1493" t="str">
        <f>IF(K62&lt;&gt;"","V列に色付け","")</f>
        <v/>
      </c>
      <c r="AW64" s="1518"/>
      <c r="AX64" s="1507"/>
      <c r="AY64" s="163"/>
      <c r="AZ64" s="163"/>
      <c r="BA64" s="163"/>
      <c r="BB64" s="163"/>
      <c r="BC64" s="163"/>
      <c r="BD64" s="163"/>
      <c r="BE64" s="163"/>
      <c r="BF64" s="163"/>
      <c r="BG64" s="163"/>
      <c r="BH64" s="163"/>
      <c r="BI64" s="163"/>
      <c r="BJ64" s="163"/>
      <c r="BK64" s="163"/>
      <c r="BL64" s="543" t="str">
        <f>G62</f>
        <v/>
      </c>
    </row>
    <row r="65" spans="1:64" ht="30" customHeight="1" thickBot="1">
      <c r="A65" s="1227"/>
      <c r="B65" s="1376"/>
      <c r="C65" s="1377"/>
      <c r="D65" s="1377"/>
      <c r="E65" s="1377"/>
      <c r="F65" s="1378"/>
      <c r="G65" s="1267"/>
      <c r="H65" s="1267"/>
      <c r="I65" s="1267"/>
      <c r="J65" s="1373"/>
      <c r="K65" s="1267"/>
      <c r="L65" s="1248"/>
      <c r="M65" s="1251"/>
      <c r="N65" s="650" t="str">
        <f>IF('別紙様式2-2（４・５月分）'!Q52="","",'別紙様式2-2（４・５月分）'!Q52)</f>
        <v/>
      </c>
      <c r="O65" s="1369"/>
      <c r="P65" s="1391"/>
      <c r="Q65" s="1387"/>
      <c r="R65" s="1389"/>
      <c r="S65" s="1395"/>
      <c r="T65" s="1460"/>
      <c r="U65" s="1462"/>
      <c r="V65" s="1464"/>
      <c r="W65" s="1466"/>
      <c r="X65" s="1509"/>
      <c r="Y65" s="1408"/>
      <c r="Z65" s="1509"/>
      <c r="AA65" s="1408"/>
      <c r="AB65" s="1509"/>
      <c r="AC65" s="1408"/>
      <c r="AD65" s="1509"/>
      <c r="AE65" s="1408"/>
      <c r="AF65" s="1408"/>
      <c r="AG65" s="1408"/>
      <c r="AH65" s="1410"/>
      <c r="AI65" s="1497"/>
      <c r="AJ65" s="1511"/>
      <c r="AK65" s="1495"/>
      <c r="AL65" s="1436"/>
      <c r="AM65" s="1499"/>
      <c r="AN65" s="1357"/>
      <c r="AO65" s="1357"/>
      <c r="AP65" s="1359"/>
      <c r="AQ65" s="1357"/>
      <c r="AR65" s="1345"/>
      <c r="AS65" s="1357"/>
      <c r="AT65" s="581" t="str">
        <f t="shared" ref="AT65" si="50">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51"/>
      <c r="AV65" s="1493"/>
      <c r="AW65" s="652" t="str">
        <f>IF('別紙様式2-2（４・５月分）'!O52="","",'別紙様式2-2（４・５月分）'!O52)</f>
        <v/>
      </c>
      <c r="AX65" s="1507"/>
      <c r="AY65" s="163"/>
      <c r="AZ65" s="163"/>
      <c r="BA65" s="163"/>
      <c r="BB65" s="163"/>
      <c r="BC65" s="163"/>
      <c r="BD65" s="163"/>
      <c r="BE65" s="163"/>
      <c r="BF65" s="163"/>
      <c r="BG65" s="163"/>
      <c r="BH65" s="163"/>
      <c r="BI65" s="163"/>
      <c r="BJ65" s="163"/>
      <c r="BK65" s="163"/>
      <c r="BL65" s="543" t="str">
        <f>G62</f>
        <v/>
      </c>
    </row>
    <row r="66" spans="1:64" ht="30" customHeight="1">
      <c r="A66" s="1241">
        <v>14</v>
      </c>
      <c r="B66" s="1272" t="str">
        <f>IF(基本情報入力シート!C67="","",基本情報入力シート!C67)</f>
        <v/>
      </c>
      <c r="C66" s="1261"/>
      <c r="D66" s="1261"/>
      <c r="E66" s="1261"/>
      <c r="F66" s="1262"/>
      <c r="G66" s="1266" t="str">
        <f>IF(基本情報入力シート!M67="","",基本情報入力シート!M67)</f>
        <v/>
      </c>
      <c r="H66" s="1266" t="str">
        <f>IF(基本情報入力シート!R67="","",基本情報入力シート!R67)</f>
        <v/>
      </c>
      <c r="I66" s="1266" t="str">
        <f>IF(基本情報入力シート!W67="","",基本情報入力シート!W67)</f>
        <v/>
      </c>
      <c r="J66" s="1372" t="str">
        <f>IF(基本情報入力シート!X67="","",基本情報入力シート!X67)</f>
        <v/>
      </c>
      <c r="K66" s="1266" t="str">
        <f>IF(基本情報入力シート!Y67="","",基本情報入力シート!Y67)</f>
        <v/>
      </c>
      <c r="L66" s="1247" t="str">
        <f>IF(基本情報入力シート!AB67="","",基本情報入力シート!AB67)</f>
        <v/>
      </c>
      <c r="M66" s="1374" t="str">
        <f>IF(基本情報入力シート!AC67="","",基本情報入力シート!AC67)</f>
        <v/>
      </c>
      <c r="N66" s="647" t="str">
        <f>IF('別紙様式2-2（４・５月分）'!Q53="","",'別紙様式2-2（４・５月分）'!Q53)</f>
        <v/>
      </c>
      <c r="O66" s="1366" t="str">
        <f>IF(SUM('別紙様式2-2（４・５月分）'!R53:R55)=0,"",SUM('別紙様式2-2（４・５月分）'!R53:R55))</f>
        <v/>
      </c>
      <c r="P66" s="1380" t="str">
        <f>IFERROR(VLOOKUP('別紙様式2-2（４・５月分）'!AR53,【参考】数式用!$AT$5:$AU$22,2,FALSE),"")</f>
        <v/>
      </c>
      <c r="Q66" s="1381"/>
      <c r="R66" s="1382"/>
      <c r="S66" s="1392" t="str">
        <f>IFERROR(VLOOKUP(K66,【参考】数式用!$A$5:$AB$27,MATCH(P66,【参考】数式用!$B$4:$AB$4,0)+1,0),"")</f>
        <v/>
      </c>
      <c r="T66" s="1413" t="s">
        <v>2173</v>
      </c>
      <c r="U66" s="1415"/>
      <c r="V66" s="1457" t="str">
        <f>IFERROR(VLOOKUP(K66,【参考】数式用!$A$5:$AB$27,MATCH(U66,【参考】数式用!$B$4:$AB$4,0)+1,0),"")</f>
        <v/>
      </c>
      <c r="W66" s="1350" t="s">
        <v>19</v>
      </c>
      <c r="X66" s="1352">
        <v>6</v>
      </c>
      <c r="Y66" s="1354" t="s">
        <v>10</v>
      </c>
      <c r="Z66" s="1352">
        <v>6</v>
      </c>
      <c r="AA66" s="1354" t="s">
        <v>45</v>
      </c>
      <c r="AB66" s="1352">
        <v>7</v>
      </c>
      <c r="AC66" s="1354" t="s">
        <v>10</v>
      </c>
      <c r="AD66" s="1352">
        <v>3</v>
      </c>
      <c r="AE66" s="1354" t="s">
        <v>13</v>
      </c>
      <c r="AF66" s="1354" t="s">
        <v>24</v>
      </c>
      <c r="AG66" s="1354">
        <f>IF(X66&gt;=1,(AB66*12+AD66)-(X66*12+Z66)+1,"")</f>
        <v>10</v>
      </c>
      <c r="AH66" s="1360" t="s">
        <v>38</v>
      </c>
      <c r="AI66" s="1481" t="str">
        <f>IFERROR(ROUNDDOWN(ROUND(L66*V66,0)*M66,0)*AG66,"")</f>
        <v/>
      </c>
      <c r="AJ66" s="1483" t="str">
        <f>IFERROR(ROUNDDOWN(ROUND((L66*(V66-AX66)),0)*M66,0)*AG66,"")</f>
        <v/>
      </c>
      <c r="AK66" s="1485">
        <f>IFERROR(IF(OR(N66="",N67="",N69=""),0,ROUNDDOWN(ROUNDDOWN(ROUND(L66*VLOOKUP(K66,【参考】数式用!$A$5:$AB$27,MATCH("新加算Ⅳ",【参考】数式用!$B$4:$AB$4,0)+1,0),0)*M66,0)*AG66*0.5,0)),"")</f>
        <v>0</v>
      </c>
      <c r="AL66" s="1433"/>
      <c r="AM66" s="1487">
        <f>IFERROR(IF(OR(N69="ベア加算",N69=""),0, IF(OR(U66="新加算Ⅰ",U66="新加算Ⅱ",U66="新加算Ⅲ",U66="新加算Ⅳ"),ROUNDDOWN(ROUND(L66*VLOOKUP(K66,【参考】数式用!$A$5:$I$27,MATCH("ベア加算",【参考】数式用!$B$4:$I$4,0)+1,0),0)*M66,0)*AG66,0)),"")</f>
        <v>0</v>
      </c>
      <c r="AN66" s="1502"/>
      <c r="AO66" s="1364"/>
      <c r="AP66" s="1403"/>
      <c r="AQ66" s="1403"/>
      <c r="AR66" s="1489"/>
      <c r="AS66" s="1491"/>
      <c r="AT66" s="556" t="str">
        <f t="shared" si="0"/>
        <v/>
      </c>
      <c r="AU66" s="651"/>
      <c r="AV66" s="1493" t="str">
        <f>IF(K66&lt;&gt;"","V列に色付け","")</f>
        <v/>
      </c>
      <c r="AW66" s="652" t="str">
        <f>IF('別紙様式2-2（４・５月分）'!O53="","",'別紙様式2-2（４・５月分）'!O53)</f>
        <v/>
      </c>
      <c r="AX66" s="1507" t="str">
        <f>IF(SUM('別紙様式2-2（４・５月分）'!P53:P55)=0,"",SUM('別紙様式2-2（４・５月分）'!P53:P55))</f>
        <v/>
      </c>
      <c r="AY66" s="1506" t="str">
        <f>IFERROR(VLOOKUP(K66,【参考】数式用!$AJ$2:$AK$24,2,FALSE),"")</f>
        <v/>
      </c>
      <c r="AZ66" s="1321" t="s">
        <v>2098</v>
      </c>
      <c r="BA66" s="1321" t="s">
        <v>2099</v>
      </c>
      <c r="BB66" s="1321" t="s">
        <v>2100</v>
      </c>
      <c r="BC66" s="1321" t="s">
        <v>2101</v>
      </c>
      <c r="BD66" s="1321" t="str">
        <f>IF(AND(P66&lt;&gt;"新加算Ⅰ",P66&lt;&gt;"新加算Ⅱ",P66&lt;&gt;"新加算Ⅲ",P66&lt;&gt;"新加算Ⅳ"),P66,IF(Q68&lt;&gt;"",Q68,""))</f>
        <v/>
      </c>
      <c r="BE66" s="1321"/>
      <c r="BF66" s="1321" t="str">
        <f t="shared" ref="BF66" si="51">IF(AM66&lt;&gt;0,IF(AN66="○","入力済","未入力"),"")</f>
        <v/>
      </c>
      <c r="BG66" s="1321"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321" t="str">
        <f>IF(OR(U66="新加算Ⅴ（７）",U66="新加算Ⅴ（９）",U66="新加算Ⅴ（10）",U66="新加算Ⅴ（12）",U66="新加算Ⅴ（13）",U66="新加算Ⅴ（14）"),IF(OR(AP66="○",AP66="令和６年度中に満たす"),"入力済","未入力"),"")</f>
        <v/>
      </c>
      <c r="BI66" s="1321" t="str">
        <f>IF(OR(U66="新加算Ⅰ",U66="新加算Ⅱ",U66="新加算Ⅲ",U66="新加算Ⅴ（１）",U66="新加算Ⅴ（３）",U66="新加算Ⅴ（８）"),IF(OR(AQ66="○",AQ66="令和６年度中に満たす"),"入力済","未入力"),"")</f>
        <v/>
      </c>
      <c r="BJ66" s="1512"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493" t="str">
        <f>IF(OR(U66="新加算Ⅰ",U66="新加算Ⅴ（１）",U66="新加算Ⅴ（２）",U66="新加算Ⅴ（５）",U66="新加算Ⅴ（７）",U66="新加算Ⅴ（10）"),IF(AS66="","未入力","入力済"),"")</f>
        <v/>
      </c>
      <c r="BL66" s="543" t="str">
        <f>G66</f>
        <v/>
      </c>
    </row>
    <row r="67" spans="1:64" ht="15" customHeight="1">
      <c r="A67" s="1226"/>
      <c r="B67" s="1272"/>
      <c r="C67" s="1261"/>
      <c r="D67" s="1261"/>
      <c r="E67" s="1261"/>
      <c r="F67" s="1262"/>
      <c r="G67" s="1266"/>
      <c r="H67" s="1266"/>
      <c r="I67" s="1266"/>
      <c r="J67" s="1372"/>
      <c r="K67" s="1266"/>
      <c r="L67" s="1247"/>
      <c r="M67" s="1374"/>
      <c r="N67" s="1370" t="str">
        <f>IF('別紙様式2-2（４・５月分）'!Q54="","",'別紙様式2-2（４・５月分）'!Q54)</f>
        <v/>
      </c>
      <c r="O67" s="1367"/>
      <c r="P67" s="1383"/>
      <c r="Q67" s="1384"/>
      <c r="R67" s="1385"/>
      <c r="S67" s="1393"/>
      <c r="T67" s="1414"/>
      <c r="U67" s="1416"/>
      <c r="V67" s="1458"/>
      <c r="W67" s="1351"/>
      <c r="X67" s="1353"/>
      <c r="Y67" s="1355"/>
      <c r="Z67" s="1353"/>
      <c r="AA67" s="1355"/>
      <c r="AB67" s="1353"/>
      <c r="AC67" s="1355"/>
      <c r="AD67" s="1353"/>
      <c r="AE67" s="1355"/>
      <c r="AF67" s="1355"/>
      <c r="AG67" s="1355"/>
      <c r="AH67" s="1361"/>
      <c r="AI67" s="1482"/>
      <c r="AJ67" s="1484"/>
      <c r="AK67" s="1486"/>
      <c r="AL67" s="1434"/>
      <c r="AM67" s="1488"/>
      <c r="AN67" s="1503"/>
      <c r="AO67" s="1365"/>
      <c r="AP67" s="1404"/>
      <c r="AQ67" s="1404"/>
      <c r="AR67" s="1490"/>
      <c r="AS67" s="1492"/>
      <c r="AT67" s="1331" t="str">
        <f t="shared" si="2"/>
        <v/>
      </c>
      <c r="AU67" s="651"/>
      <c r="AV67" s="1493"/>
      <c r="AW67" s="1518" t="str">
        <f>IF('別紙様式2-2（４・５月分）'!O54="","",'別紙様式2-2（４・５月分）'!O54)</f>
        <v/>
      </c>
      <c r="AX67" s="1507"/>
      <c r="AY67" s="1506"/>
      <c r="AZ67" s="1321"/>
      <c r="BA67" s="1321"/>
      <c r="BB67" s="1321"/>
      <c r="BC67" s="1321"/>
      <c r="BD67" s="1321"/>
      <c r="BE67" s="1321"/>
      <c r="BF67" s="1321"/>
      <c r="BG67" s="1321"/>
      <c r="BH67" s="1321"/>
      <c r="BI67" s="1321"/>
      <c r="BJ67" s="1512"/>
      <c r="BK67" s="1493"/>
      <c r="BL67" s="543" t="str">
        <f>G66</f>
        <v/>
      </c>
    </row>
    <row r="68" spans="1:64" ht="15" customHeight="1">
      <c r="A68" s="1240"/>
      <c r="B68" s="1272"/>
      <c r="C68" s="1261"/>
      <c r="D68" s="1261"/>
      <c r="E68" s="1261"/>
      <c r="F68" s="1262"/>
      <c r="G68" s="1266"/>
      <c r="H68" s="1266"/>
      <c r="I68" s="1266"/>
      <c r="J68" s="1372"/>
      <c r="K68" s="1266"/>
      <c r="L68" s="1247"/>
      <c r="M68" s="1374"/>
      <c r="N68" s="1371"/>
      <c r="O68" s="1368"/>
      <c r="P68" s="1390" t="s">
        <v>2179</v>
      </c>
      <c r="Q68" s="1386" t="str">
        <f>IFERROR(VLOOKUP('別紙様式2-2（４・５月分）'!AR53,【参考】数式用!$AT$5:$AV$22,3,FALSE),"")</f>
        <v/>
      </c>
      <c r="R68" s="1388" t="s">
        <v>2190</v>
      </c>
      <c r="S68" s="1394" t="str">
        <f>IFERROR(VLOOKUP(K66,【参考】数式用!$A$5:$AB$27,MATCH(Q68,【参考】数式用!$B$4:$AB$4,0)+1,0),"")</f>
        <v/>
      </c>
      <c r="T68" s="1459" t="s">
        <v>217</v>
      </c>
      <c r="U68" s="1461"/>
      <c r="V68" s="1463" t="str">
        <f>IFERROR(VLOOKUP(K66,【参考】数式用!$A$5:$AB$27,MATCH(U68,【参考】数式用!$B$4:$AB$4,0)+1,0),"")</f>
        <v/>
      </c>
      <c r="W68" s="1465" t="s">
        <v>19</v>
      </c>
      <c r="X68" s="1508">
        <v>7</v>
      </c>
      <c r="Y68" s="1407" t="s">
        <v>10</v>
      </c>
      <c r="Z68" s="1508">
        <v>4</v>
      </c>
      <c r="AA68" s="1407" t="s">
        <v>45</v>
      </c>
      <c r="AB68" s="1508">
        <v>8</v>
      </c>
      <c r="AC68" s="1407" t="s">
        <v>10</v>
      </c>
      <c r="AD68" s="1508">
        <v>3</v>
      </c>
      <c r="AE68" s="1407" t="s">
        <v>13</v>
      </c>
      <c r="AF68" s="1407" t="s">
        <v>24</v>
      </c>
      <c r="AG68" s="1407">
        <f>IF(X68&gt;=1,(AB68*12+AD68)-(X68*12+Z68)+1,"")</f>
        <v>12</v>
      </c>
      <c r="AH68" s="1409" t="s">
        <v>38</v>
      </c>
      <c r="AI68" s="1496" t="str">
        <f>IFERROR(ROUNDDOWN(ROUND(L66*V68,0)*M66,0)*AG68,"")</f>
        <v/>
      </c>
      <c r="AJ68" s="1510" t="str">
        <f>IFERROR(ROUNDDOWN(ROUND((L66*(V68-AX66)),0)*M66,0)*AG68,"")</f>
        <v/>
      </c>
      <c r="AK68" s="1494">
        <f>IFERROR(IF(OR(N66="",N67="",N69=""),0,ROUNDDOWN(ROUNDDOWN(ROUND(L66*VLOOKUP(K66,【参考】数式用!$A$5:$AB$27,MATCH("新加算Ⅳ",【参考】数式用!$B$4:$AB$4,0)+1,0),0)*M66,0)*AG68*0.5,0)),"")</f>
        <v>0</v>
      </c>
      <c r="AL68" s="1435" t="str">
        <f t="shared" ref="AL68" si="52">IF(U68&lt;&gt;"","新規に適用","")</f>
        <v/>
      </c>
      <c r="AM68" s="1498">
        <f>IFERROR(IF(OR(N69="ベア加算",N69=""),0, IF(OR(U66="新加算Ⅰ",U66="新加算Ⅱ",U66="新加算Ⅲ",U66="新加算Ⅳ"),0,ROUNDDOWN(ROUND(L66*VLOOKUP(K66,【参考】数式用!$A$5:$I$27,MATCH("ベア加算",【参考】数式用!$B$4:$I$4,0)+1,0),0)*M66,0)*AG68)),"")</f>
        <v>0</v>
      </c>
      <c r="AN68" s="1356" t="str">
        <f t="shared" ref="AN68" si="53">IF(AM68=0,"",IF(AND(U68&lt;&gt;"",AN66=""),"新規に適用",IF(AND(U68&lt;&gt;"",AN66&lt;&gt;""),"継続で適用","")))</f>
        <v/>
      </c>
      <c r="AO68" s="1356" t="str">
        <f>IF(AND(U68&lt;&gt;"",AO66=""),"新規に適用",IF(AND(U68&lt;&gt;"",AO66&lt;&gt;""),"継続で適用",""))</f>
        <v/>
      </c>
      <c r="AP68" s="1358"/>
      <c r="AQ68" s="1356" t="str">
        <f>IF(AND(U68&lt;&gt;"",AQ66=""),"新規に適用",IF(AND(U68&lt;&gt;"",AQ66&lt;&gt;""),"継続で適用",""))</f>
        <v/>
      </c>
      <c r="AR68" s="1344" t="str">
        <f t="shared" si="25"/>
        <v/>
      </c>
      <c r="AS68" s="1356" t="str">
        <f>IF(AND(U68&lt;&gt;"",AS66=""),"新規に適用",IF(AND(U68&lt;&gt;"",AS66&lt;&gt;""),"継続で適用",""))</f>
        <v/>
      </c>
      <c r="AT68" s="1331"/>
      <c r="AU68" s="651"/>
      <c r="AV68" s="1493" t="str">
        <f>IF(K66&lt;&gt;"","V列に色付け","")</f>
        <v/>
      </c>
      <c r="AW68" s="1518"/>
      <c r="AX68" s="1507"/>
      <c r="AY68" s="163"/>
      <c r="AZ68" s="163"/>
      <c r="BA68" s="163"/>
      <c r="BB68" s="163"/>
      <c r="BC68" s="163"/>
      <c r="BD68" s="163"/>
      <c r="BE68" s="163"/>
      <c r="BF68" s="163"/>
      <c r="BG68" s="163"/>
      <c r="BH68" s="163"/>
      <c r="BI68" s="163"/>
      <c r="BJ68" s="163"/>
      <c r="BK68" s="163"/>
      <c r="BL68" s="543" t="str">
        <f>G66</f>
        <v/>
      </c>
    </row>
    <row r="69" spans="1:64" ht="30" customHeight="1" thickBot="1">
      <c r="A69" s="1227"/>
      <c r="B69" s="1376"/>
      <c r="C69" s="1377"/>
      <c r="D69" s="1377"/>
      <c r="E69" s="1377"/>
      <c r="F69" s="1378"/>
      <c r="G69" s="1267"/>
      <c r="H69" s="1267"/>
      <c r="I69" s="1267"/>
      <c r="J69" s="1373"/>
      <c r="K69" s="1267"/>
      <c r="L69" s="1248"/>
      <c r="M69" s="1375"/>
      <c r="N69" s="650" t="str">
        <f>IF('別紙様式2-2（４・５月分）'!Q55="","",'別紙様式2-2（４・５月分）'!Q55)</f>
        <v/>
      </c>
      <c r="O69" s="1369"/>
      <c r="P69" s="1391"/>
      <c r="Q69" s="1387"/>
      <c r="R69" s="1389"/>
      <c r="S69" s="1395"/>
      <c r="T69" s="1460"/>
      <c r="U69" s="1462"/>
      <c r="V69" s="1464"/>
      <c r="W69" s="1466"/>
      <c r="X69" s="1509"/>
      <c r="Y69" s="1408"/>
      <c r="Z69" s="1509"/>
      <c r="AA69" s="1408"/>
      <c r="AB69" s="1509"/>
      <c r="AC69" s="1408"/>
      <c r="AD69" s="1509"/>
      <c r="AE69" s="1408"/>
      <c r="AF69" s="1408"/>
      <c r="AG69" s="1408"/>
      <c r="AH69" s="1410"/>
      <c r="AI69" s="1497"/>
      <c r="AJ69" s="1511"/>
      <c r="AK69" s="1495"/>
      <c r="AL69" s="1436"/>
      <c r="AM69" s="1499"/>
      <c r="AN69" s="1357"/>
      <c r="AO69" s="1357"/>
      <c r="AP69" s="1359"/>
      <c r="AQ69" s="1357"/>
      <c r="AR69" s="1345"/>
      <c r="AS69" s="1357"/>
      <c r="AT69" s="581" t="str">
        <f t="shared" ref="AT69" si="54">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51"/>
      <c r="AV69" s="1493"/>
      <c r="AW69" s="652" t="str">
        <f>IF('別紙様式2-2（４・５月分）'!O55="","",'別紙様式2-2（４・５月分）'!O55)</f>
        <v/>
      </c>
      <c r="AX69" s="1507"/>
      <c r="AY69" s="163"/>
      <c r="AZ69" s="163"/>
      <c r="BA69" s="163"/>
      <c r="BB69" s="163"/>
      <c r="BC69" s="163"/>
      <c r="BD69" s="163"/>
      <c r="BE69" s="163"/>
      <c r="BF69" s="163"/>
      <c r="BG69" s="163"/>
      <c r="BH69" s="163"/>
      <c r="BI69" s="163"/>
      <c r="BJ69" s="163"/>
      <c r="BK69" s="163"/>
      <c r="BL69" s="543" t="str">
        <f>G66</f>
        <v/>
      </c>
    </row>
    <row r="70" spans="1:64" ht="30" customHeight="1">
      <c r="A70" s="1225">
        <v>15</v>
      </c>
      <c r="B70" s="1271" t="str">
        <f>IF(基本情報入力シート!C68="","",基本情報入力シート!C68)</f>
        <v/>
      </c>
      <c r="C70" s="1259"/>
      <c r="D70" s="1259"/>
      <c r="E70" s="1259"/>
      <c r="F70" s="1260"/>
      <c r="G70" s="1265" t="str">
        <f>IF(基本情報入力シート!M68="","",基本情報入力シート!M68)</f>
        <v/>
      </c>
      <c r="H70" s="1265" t="str">
        <f>IF(基本情報入力シート!R68="","",基本情報入力シート!R68)</f>
        <v/>
      </c>
      <c r="I70" s="1265" t="str">
        <f>IF(基本情報入力シート!W68="","",基本情報入力シート!W68)</f>
        <v/>
      </c>
      <c r="J70" s="1379" t="str">
        <f>IF(基本情報入力シート!X68="","",基本情報入力シート!X68)</f>
        <v/>
      </c>
      <c r="K70" s="1265" t="str">
        <f>IF(基本情報入力シート!Y68="","",基本情報入力シート!Y68)</f>
        <v/>
      </c>
      <c r="L70" s="1246" t="str">
        <f>IF(基本情報入力シート!AB68="","",基本情報入力シート!AB68)</f>
        <v/>
      </c>
      <c r="M70" s="1249" t="str">
        <f>IF(基本情報入力シート!AC68="","",基本情報入力シート!AC68)</f>
        <v/>
      </c>
      <c r="N70" s="647" t="str">
        <f>IF('別紙様式2-2（４・５月分）'!Q56="","",'別紙様式2-2（４・５月分）'!Q56)</f>
        <v/>
      </c>
      <c r="O70" s="1366" t="str">
        <f>IF(SUM('別紙様式2-2（４・５月分）'!R56:R58)=0,"",SUM('別紙様式2-2（４・５月分）'!R56:R58))</f>
        <v/>
      </c>
      <c r="P70" s="1380" t="str">
        <f>IFERROR(VLOOKUP('別紙様式2-2（４・５月分）'!AR56,【参考】数式用!$AT$5:$AU$22,2,FALSE),"")</f>
        <v/>
      </c>
      <c r="Q70" s="1381"/>
      <c r="R70" s="1382"/>
      <c r="S70" s="1392" t="str">
        <f>IFERROR(VLOOKUP(K70,【参考】数式用!$A$5:$AB$27,MATCH(P70,【参考】数式用!$B$4:$AB$4,0)+1,0),"")</f>
        <v/>
      </c>
      <c r="T70" s="1413" t="s">
        <v>2173</v>
      </c>
      <c r="U70" s="1415"/>
      <c r="V70" s="1457" t="str">
        <f>IFERROR(VLOOKUP(K70,【参考】数式用!$A$5:$AB$27,MATCH(U70,【参考】数式用!$B$4:$AB$4,0)+1,0),"")</f>
        <v/>
      </c>
      <c r="W70" s="1350" t="s">
        <v>19</v>
      </c>
      <c r="X70" s="1352">
        <v>6</v>
      </c>
      <c r="Y70" s="1354" t="s">
        <v>10</v>
      </c>
      <c r="Z70" s="1352">
        <v>6</v>
      </c>
      <c r="AA70" s="1354" t="s">
        <v>45</v>
      </c>
      <c r="AB70" s="1352">
        <v>7</v>
      </c>
      <c r="AC70" s="1354" t="s">
        <v>10</v>
      </c>
      <c r="AD70" s="1352">
        <v>3</v>
      </c>
      <c r="AE70" s="1354" t="s">
        <v>13</v>
      </c>
      <c r="AF70" s="1354" t="s">
        <v>24</v>
      </c>
      <c r="AG70" s="1354">
        <f>IF(X70&gt;=1,(AB70*12+AD70)-(X70*12+Z70)+1,"")</f>
        <v>10</v>
      </c>
      <c r="AH70" s="1360" t="s">
        <v>38</v>
      </c>
      <c r="AI70" s="1481" t="str">
        <f>IFERROR(ROUNDDOWN(ROUND(L70*V70,0)*M70,0)*AG70,"")</f>
        <v/>
      </c>
      <c r="AJ70" s="1483" t="str">
        <f>IFERROR(ROUNDDOWN(ROUND((L70*(V70-AX70)),0)*M70,0)*AG70,"")</f>
        <v/>
      </c>
      <c r="AK70" s="1485">
        <f>IFERROR(IF(OR(N70="",N71="",N73=""),0,ROUNDDOWN(ROUNDDOWN(ROUND(L70*VLOOKUP(K70,【参考】数式用!$A$5:$AB$27,MATCH("新加算Ⅳ",【参考】数式用!$B$4:$AB$4,0)+1,0),0)*M70,0)*AG70*0.5,0)),"")</f>
        <v>0</v>
      </c>
      <c r="AL70" s="1433"/>
      <c r="AM70" s="1487">
        <f>IFERROR(IF(OR(N73="ベア加算",N73=""),0, IF(OR(U70="新加算Ⅰ",U70="新加算Ⅱ",U70="新加算Ⅲ",U70="新加算Ⅳ"),ROUNDDOWN(ROUND(L70*VLOOKUP(K70,【参考】数式用!$A$5:$I$27,MATCH("ベア加算",【参考】数式用!$B$4:$I$4,0)+1,0),0)*M70,0)*AG70,0)),"")</f>
        <v>0</v>
      </c>
      <c r="AN70" s="1502"/>
      <c r="AO70" s="1364"/>
      <c r="AP70" s="1403"/>
      <c r="AQ70" s="1403"/>
      <c r="AR70" s="1489"/>
      <c r="AS70" s="1491"/>
      <c r="AT70" s="556" t="str">
        <f t="shared" si="0"/>
        <v/>
      </c>
      <c r="AU70" s="651"/>
      <c r="AV70" s="1493" t="str">
        <f>IF(K70&lt;&gt;"","V列に色付け","")</f>
        <v/>
      </c>
      <c r="AW70" s="652" t="str">
        <f>IF('別紙様式2-2（４・５月分）'!O56="","",'別紙様式2-2（４・５月分）'!O56)</f>
        <v/>
      </c>
      <c r="AX70" s="1507" t="str">
        <f>IF(SUM('別紙様式2-2（４・５月分）'!P56:P58)=0,"",SUM('別紙様式2-2（４・５月分）'!P56:P58))</f>
        <v/>
      </c>
      <c r="AY70" s="1506" t="str">
        <f>IFERROR(VLOOKUP(K70,【参考】数式用!$AJ$2:$AK$24,2,FALSE),"")</f>
        <v/>
      </c>
      <c r="AZ70" s="1321" t="s">
        <v>2098</v>
      </c>
      <c r="BA70" s="1321" t="s">
        <v>2099</v>
      </c>
      <c r="BB70" s="1321" t="s">
        <v>2100</v>
      </c>
      <c r="BC70" s="1321" t="s">
        <v>2101</v>
      </c>
      <c r="BD70" s="1321" t="str">
        <f>IF(AND(P70&lt;&gt;"新加算Ⅰ",P70&lt;&gt;"新加算Ⅱ",P70&lt;&gt;"新加算Ⅲ",P70&lt;&gt;"新加算Ⅳ"),P70,IF(Q72&lt;&gt;"",Q72,""))</f>
        <v/>
      </c>
      <c r="BE70" s="1321"/>
      <c r="BF70" s="1321" t="str">
        <f t="shared" ref="BF70" si="55">IF(AM70&lt;&gt;0,IF(AN70="○","入力済","未入力"),"")</f>
        <v/>
      </c>
      <c r="BG70" s="1321"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321" t="str">
        <f>IF(OR(U70="新加算Ⅴ（７）",U70="新加算Ⅴ（９）",U70="新加算Ⅴ（10）",U70="新加算Ⅴ（12）",U70="新加算Ⅴ（13）",U70="新加算Ⅴ（14）"),IF(OR(AP70="○",AP70="令和６年度中に満たす"),"入力済","未入力"),"")</f>
        <v/>
      </c>
      <c r="BI70" s="1321" t="str">
        <f>IF(OR(U70="新加算Ⅰ",U70="新加算Ⅱ",U70="新加算Ⅲ",U70="新加算Ⅴ（１）",U70="新加算Ⅴ（３）",U70="新加算Ⅴ（８）"),IF(OR(AQ70="○",AQ70="令和６年度中に満たす"),"入力済","未入力"),"")</f>
        <v/>
      </c>
      <c r="BJ70" s="1512"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493" t="str">
        <f>IF(OR(U70="新加算Ⅰ",U70="新加算Ⅴ（１）",U70="新加算Ⅴ（２）",U70="新加算Ⅴ（５）",U70="新加算Ⅴ（７）",U70="新加算Ⅴ（10）"),IF(AS70="","未入力","入力済"),"")</f>
        <v/>
      </c>
      <c r="BL70" s="543" t="str">
        <f>G70</f>
        <v/>
      </c>
    </row>
    <row r="71" spans="1:64" ht="15" customHeight="1">
      <c r="A71" s="1226"/>
      <c r="B71" s="1272"/>
      <c r="C71" s="1261"/>
      <c r="D71" s="1261"/>
      <c r="E71" s="1261"/>
      <c r="F71" s="1262"/>
      <c r="G71" s="1266"/>
      <c r="H71" s="1266"/>
      <c r="I71" s="1266"/>
      <c r="J71" s="1372"/>
      <c r="K71" s="1266"/>
      <c r="L71" s="1247"/>
      <c r="M71" s="1250"/>
      <c r="N71" s="1370" t="str">
        <f>IF('別紙様式2-2（４・５月分）'!Q57="","",'別紙様式2-2（４・５月分）'!Q57)</f>
        <v/>
      </c>
      <c r="O71" s="1367"/>
      <c r="P71" s="1383"/>
      <c r="Q71" s="1384"/>
      <c r="R71" s="1385"/>
      <c r="S71" s="1393"/>
      <c r="T71" s="1414"/>
      <c r="U71" s="1416"/>
      <c r="V71" s="1458"/>
      <c r="W71" s="1351"/>
      <c r="X71" s="1353"/>
      <c r="Y71" s="1355"/>
      <c r="Z71" s="1353"/>
      <c r="AA71" s="1355"/>
      <c r="AB71" s="1353"/>
      <c r="AC71" s="1355"/>
      <c r="AD71" s="1353"/>
      <c r="AE71" s="1355"/>
      <c r="AF71" s="1355"/>
      <c r="AG71" s="1355"/>
      <c r="AH71" s="1361"/>
      <c r="AI71" s="1482"/>
      <c r="AJ71" s="1484"/>
      <c r="AK71" s="1486"/>
      <c r="AL71" s="1434"/>
      <c r="AM71" s="1488"/>
      <c r="AN71" s="1503"/>
      <c r="AO71" s="1365"/>
      <c r="AP71" s="1404"/>
      <c r="AQ71" s="1404"/>
      <c r="AR71" s="1490"/>
      <c r="AS71" s="1492"/>
      <c r="AT71" s="1331" t="str">
        <f t="shared" si="2"/>
        <v/>
      </c>
      <c r="AU71" s="651"/>
      <c r="AV71" s="1493"/>
      <c r="AW71" s="1518" t="str">
        <f>IF('別紙様式2-2（４・５月分）'!O57="","",'別紙様式2-2（４・５月分）'!O57)</f>
        <v/>
      </c>
      <c r="AX71" s="1507"/>
      <c r="AY71" s="1506"/>
      <c r="AZ71" s="1321"/>
      <c r="BA71" s="1321"/>
      <c r="BB71" s="1321"/>
      <c r="BC71" s="1321"/>
      <c r="BD71" s="1321"/>
      <c r="BE71" s="1321"/>
      <c r="BF71" s="1321"/>
      <c r="BG71" s="1321"/>
      <c r="BH71" s="1321"/>
      <c r="BI71" s="1321"/>
      <c r="BJ71" s="1512"/>
      <c r="BK71" s="1493"/>
      <c r="BL71" s="543" t="str">
        <f>G70</f>
        <v/>
      </c>
    </row>
    <row r="72" spans="1:64" ht="15" customHeight="1">
      <c r="A72" s="1240"/>
      <c r="B72" s="1272"/>
      <c r="C72" s="1261"/>
      <c r="D72" s="1261"/>
      <c r="E72" s="1261"/>
      <c r="F72" s="1262"/>
      <c r="G72" s="1266"/>
      <c r="H72" s="1266"/>
      <c r="I72" s="1266"/>
      <c r="J72" s="1372"/>
      <c r="K72" s="1266"/>
      <c r="L72" s="1247"/>
      <c r="M72" s="1250"/>
      <c r="N72" s="1371"/>
      <c r="O72" s="1368"/>
      <c r="P72" s="1390" t="s">
        <v>2179</v>
      </c>
      <c r="Q72" s="1386" t="str">
        <f>IFERROR(VLOOKUP('別紙様式2-2（４・５月分）'!AR56,【参考】数式用!$AT$5:$AV$22,3,FALSE),"")</f>
        <v/>
      </c>
      <c r="R72" s="1388" t="s">
        <v>2190</v>
      </c>
      <c r="S72" s="1396" t="str">
        <f>IFERROR(VLOOKUP(K70,【参考】数式用!$A$5:$AB$27,MATCH(Q72,【参考】数式用!$B$4:$AB$4,0)+1,0),"")</f>
        <v/>
      </c>
      <c r="T72" s="1459" t="s">
        <v>217</v>
      </c>
      <c r="U72" s="1461"/>
      <c r="V72" s="1463" t="str">
        <f>IFERROR(VLOOKUP(K70,【参考】数式用!$A$5:$AB$27,MATCH(U72,【参考】数式用!$B$4:$AB$4,0)+1,0),"")</f>
        <v/>
      </c>
      <c r="W72" s="1465" t="s">
        <v>19</v>
      </c>
      <c r="X72" s="1508">
        <v>7</v>
      </c>
      <c r="Y72" s="1407" t="s">
        <v>10</v>
      </c>
      <c r="Z72" s="1508">
        <v>4</v>
      </c>
      <c r="AA72" s="1407" t="s">
        <v>45</v>
      </c>
      <c r="AB72" s="1508">
        <v>8</v>
      </c>
      <c r="AC72" s="1407" t="s">
        <v>10</v>
      </c>
      <c r="AD72" s="1508">
        <v>3</v>
      </c>
      <c r="AE72" s="1407" t="s">
        <v>13</v>
      </c>
      <c r="AF72" s="1407" t="s">
        <v>24</v>
      </c>
      <c r="AG72" s="1407">
        <f>IF(X72&gt;=1,(AB72*12+AD72)-(X72*12+Z72)+1,"")</f>
        <v>12</v>
      </c>
      <c r="AH72" s="1409" t="s">
        <v>38</v>
      </c>
      <c r="AI72" s="1496" t="str">
        <f>IFERROR(ROUNDDOWN(ROUND(L70*V72,0)*M70,0)*AG72,"")</f>
        <v/>
      </c>
      <c r="AJ72" s="1510" t="str">
        <f>IFERROR(ROUNDDOWN(ROUND((L70*(V72-AX70)),0)*M70,0)*AG72,"")</f>
        <v/>
      </c>
      <c r="AK72" s="1494">
        <f>IFERROR(IF(OR(N70="",N71="",N73=""),0,ROUNDDOWN(ROUNDDOWN(ROUND(L70*VLOOKUP(K70,【参考】数式用!$A$5:$AB$27,MATCH("新加算Ⅳ",【参考】数式用!$B$4:$AB$4,0)+1,0),0)*M70,0)*AG72*0.5,0)),"")</f>
        <v>0</v>
      </c>
      <c r="AL72" s="1435" t="str">
        <f t="shared" ref="AL72" si="56">IF(U72&lt;&gt;"","新規に適用","")</f>
        <v/>
      </c>
      <c r="AM72" s="1498">
        <f>IFERROR(IF(OR(N73="ベア加算",N73=""),0, IF(OR(U70="新加算Ⅰ",U70="新加算Ⅱ",U70="新加算Ⅲ",U70="新加算Ⅳ"),0,ROUNDDOWN(ROUND(L70*VLOOKUP(K70,【参考】数式用!$A$5:$I$27,MATCH("ベア加算",【参考】数式用!$B$4:$I$4,0)+1,0),0)*M70,0)*AG72)),"")</f>
        <v>0</v>
      </c>
      <c r="AN72" s="1356" t="str">
        <f t="shared" ref="AN72" si="57">IF(AM72=0,"",IF(AND(U72&lt;&gt;"",AN70=""),"新規に適用",IF(AND(U72&lt;&gt;"",AN70&lt;&gt;""),"継続で適用","")))</f>
        <v/>
      </c>
      <c r="AO72" s="1356" t="str">
        <f>IF(AND(U72&lt;&gt;"",AO70=""),"新規に適用",IF(AND(U72&lt;&gt;"",AO70&lt;&gt;""),"継続で適用",""))</f>
        <v/>
      </c>
      <c r="AP72" s="1358"/>
      <c r="AQ72" s="1356" t="str">
        <f>IF(AND(U72&lt;&gt;"",AQ70=""),"新規に適用",IF(AND(U72&lt;&gt;"",AQ70&lt;&gt;""),"継続で適用",""))</f>
        <v/>
      </c>
      <c r="AR72" s="1344" t="str">
        <f t="shared" si="25"/>
        <v/>
      </c>
      <c r="AS72" s="1356" t="str">
        <f>IF(AND(U72&lt;&gt;"",AS70=""),"新規に適用",IF(AND(U72&lt;&gt;"",AS70&lt;&gt;""),"継続で適用",""))</f>
        <v/>
      </c>
      <c r="AT72" s="1331"/>
      <c r="AU72" s="651"/>
      <c r="AV72" s="1493" t="str">
        <f>IF(K70&lt;&gt;"","V列に色付け","")</f>
        <v/>
      </c>
      <c r="AW72" s="1518"/>
      <c r="AX72" s="1507"/>
      <c r="AY72" s="163"/>
      <c r="AZ72" s="163"/>
      <c r="BA72" s="163"/>
      <c r="BB72" s="163"/>
      <c r="BC72" s="163"/>
      <c r="BD72" s="163"/>
      <c r="BE72" s="163"/>
      <c r="BF72" s="163"/>
      <c r="BG72" s="163"/>
      <c r="BH72" s="163"/>
      <c r="BI72" s="163"/>
      <c r="BJ72" s="163"/>
      <c r="BK72" s="163"/>
      <c r="BL72" s="543" t="str">
        <f>G70</f>
        <v/>
      </c>
    </row>
    <row r="73" spans="1:64" ht="30" customHeight="1" thickBot="1">
      <c r="A73" s="1227"/>
      <c r="B73" s="1376"/>
      <c r="C73" s="1377"/>
      <c r="D73" s="1377"/>
      <c r="E73" s="1377"/>
      <c r="F73" s="1378"/>
      <c r="G73" s="1267"/>
      <c r="H73" s="1267"/>
      <c r="I73" s="1267"/>
      <c r="J73" s="1373"/>
      <c r="K73" s="1267"/>
      <c r="L73" s="1248"/>
      <c r="M73" s="1251"/>
      <c r="N73" s="650" t="str">
        <f>IF('別紙様式2-2（４・５月分）'!Q58="","",'別紙様式2-2（４・５月分）'!Q58)</f>
        <v/>
      </c>
      <c r="O73" s="1369"/>
      <c r="P73" s="1391"/>
      <c r="Q73" s="1387"/>
      <c r="R73" s="1389"/>
      <c r="S73" s="1395"/>
      <c r="T73" s="1460"/>
      <c r="U73" s="1462"/>
      <c r="V73" s="1464"/>
      <c r="W73" s="1466"/>
      <c r="X73" s="1509"/>
      <c r="Y73" s="1408"/>
      <c r="Z73" s="1509"/>
      <c r="AA73" s="1408"/>
      <c r="AB73" s="1509"/>
      <c r="AC73" s="1408"/>
      <c r="AD73" s="1509"/>
      <c r="AE73" s="1408"/>
      <c r="AF73" s="1408"/>
      <c r="AG73" s="1408"/>
      <c r="AH73" s="1410"/>
      <c r="AI73" s="1497"/>
      <c r="AJ73" s="1511"/>
      <c r="AK73" s="1495"/>
      <c r="AL73" s="1436"/>
      <c r="AM73" s="1499"/>
      <c r="AN73" s="1357"/>
      <c r="AO73" s="1357"/>
      <c r="AP73" s="1359"/>
      <c r="AQ73" s="1357"/>
      <c r="AR73" s="1345"/>
      <c r="AS73" s="1357"/>
      <c r="AT73" s="581" t="str">
        <f t="shared" ref="AT73" si="58">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51"/>
      <c r="AV73" s="1493"/>
      <c r="AW73" s="652" t="str">
        <f>IF('別紙様式2-2（４・５月分）'!O58="","",'別紙様式2-2（４・５月分）'!O58)</f>
        <v/>
      </c>
      <c r="AX73" s="1507"/>
      <c r="AY73" s="163"/>
      <c r="AZ73" s="163"/>
      <c r="BA73" s="163"/>
      <c r="BB73" s="163"/>
      <c r="BC73" s="163"/>
      <c r="BD73" s="163"/>
      <c r="BE73" s="163"/>
      <c r="BF73" s="163"/>
      <c r="BG73" s="163"/>
      <c r="BH73" s="163"/>
      <c r="BI73" s="163"/>
      <c r="BJ73" s="163"/>
      <c r="BK73" s="163"/>
      <c r="BL73" s="543" t="str">
        <f>G70</f>
        <v/>
      </c>
    </row>
    <row r="74" spans="1:64" ht="30" customHeight="1">
      <c r="A74" s="1241">
        <v>16</v>
      </c>
      <c r="B74" s="1272" t="str">
        <f>IF(基本情報入力シート!C69="","",基本情報入力シート!C69)</f>
        <v/>
      </c>
      <c r="C74" s="1261"/>
      <c r="D74" s="1261"/>
      <c r="E74" s="1261"/>
      <c r="F74" s="1262"/>
      <c r="G74" s="1266" t="str">
        <f>IF(基本情報入力シート!M69="","",基本情報入力シート!M69)</f>
        <v/>
      </c>
      <c r="H74" s="1266" t="str">
        <f>IF(基本情報入力シート!R69="","",基本情報入力シート!R69)</f>
        <v/>
      </c>
      <c r="I74" s="1266" t="str">
        <f>IF(基本情報入力シート!W69="","",基本情報入力シート!W69)</f>
        <v/>
      </c>
      <c r="J74" s="1372" t="str">
        <f>IF(基本情報入力シート!X69="","",基本情報入力シート!X69)</f>
        <v/>
      </c>
      <c r="K74" s="1266" t="str">
        <f>IF(基本情報入力シート!Y69="","",基本情報入力シート!Y69)</f>
        <v/>
      </c>
      <c r="L74" s="1247" t="str">
        <f>IF(基本情報入力シート!AB69="","",基本情報入力シート!AB69)</f>
        <v/>
      </c>
      <c r="M74" s="1374" t="str">
        <f>IF(基本情報入力シート!AC69="","",基本情報入力シート!AC69)</f>
        <v/>
      </c>
      <c r="N74" s="647" t="str">
        <f>IF('別紙様式2-2（４・５月分）'!Q59="","",'別紙様式2-2（４・５月分）'!Q59)</f>
        <v/>
      </c>
      <c r="O74" s="1366" t="str">
        <f>IF(SUM('別紙様式2-2（４・５月分）'!R59:R61)=0,"",SUM('別紙様式2-2（４・５月分）'!R59:R61))</f>
        <v/>
      </c>
      <c r="P74" s="1380" t="str">
        <f>IFERROR(VLOOKUP('別紙様式2-2（４・５月分）'!AR59,【参考】数式用!$AT$5:$AU$22,2,FALSE),"")</f>
        <v/>
      </c>
      <c r="Q74" s="1381"/>
      <c r="R74" s="1382"/>
      <c r="S74" s="1392" t="str">
        <f>IFERROR(VLOOKUP(K74,【参考】数式用!$A$5:$AB$27,MATCH(P74,【参考】数式用!$B$4:$AB$4,0)+1,0),"")</f>
        <v/>
      </c>
      <c r="T74" s="1413" t="s">
        <v>2173</v>
      </c>
      <c r="U74" s="1415"/>
      <c r="V74" s="1457" t="str">
        <f>IFERROR(VLOOKUP(K74,【参考】数式用!$A$5:$AB$27,MATCH(U74,【参考】数式用!$B$4:$AB$4,0)+1,0),"")</f>
        <v/>
      </c>
      <c r="W74" s="1350" t="s">
        <v>19</v>
      </c>
      <c r="X74" s="1352">
        <v>6</v>
      </c>
      <c r="Y74" s="1354" t="s">
        <v>10</v>
      </c>
      <c r="Z74" s="1352">
        <v>6</v>
      </c>
      <c r="AA74" s="1354" t="s">
        <v>45</v>
      </c>
      <c r="AB74" s="1352">
        <v>7</v>
      </c>
      <c r="AC74" s="1354" t="s">
        <v>10</v>
      </c>
      <c r="AD74" s="1352">
        <v>3</v>
      </c>
      <c r="AE74" s="1354" t="s">
        <v>13</v>
      </c>
      <c r="AF74" s="1354" t="s">
        <v>24</v>
      </c>
      <c r="AG74" s="1354">
        <f>IF(X74&gt;=1,(AB74*12+AD74)-(X74*12+Z74)+1,"")</f>
        <v>10</v>
      </c>
      <c r="AH74" s="1360" t="s">
        <v>38</v>
      </c>
      <c r="AI74" s="1481" t="str">
        <f>IFERROR(ROUNDDOWN(ROUND(L74*V74,0)*M74,0)*AG74,"")</f>
        <v/>
      </c>
      <c r="AJ74" s="1483" t="str">
        <f>IFERROR(ROUNDDOWN(ROUND((L74*(V74-AX74)),0)*M74,0)*AG74,"")</f>
        <v/>
      </c>
      <c r="AK74" s="1485">
        <f>IFERROR(IF(OR(N74="",N75="",N77=""),0,ROUNDDOWN(ROUNDDOWN(ROUND(L74*VLOOKUP(K74,【参考】数式用!$A$5:$AB$27,MATCH("新加算Ⅳ",【参考】数式用!$B$4:$AB$4,0)+1,0),0)*M74,0)*AG74*0.5,0)),"")</f>
        <v>0</v>
      </c>
      <c r="AL74" s="1433"/>
      <c r="AM74" s="1487">
        <f>IFERROR(IF(OR(N77="ベア加算",N77=""),0, IF(OR(U74="新加算Ⅰ",U74="新加算Ⅱ",U74="新加算Ⅲ",U74="新加算Ⅳ"),ROUNDDOWN(ROUND(L74*VLOOKUP(K74,【参考】数式用!$A$5:$I$27,MATCH("ベア加算",【参考】数式用!$B$4:$I$4,0)+1,0),0)*M74,0)*AG74,0)),"")</f>
        <v>0</v>
      </c>
      <c r="AN74" s="1502"/>
      <c r="AO74" s="1364"/>
      <c r="AP74" s="1403"/>
      <c r="AQ74" s="1403"/>
      <c r="AR74" s="1489"/>
      <c r="AS74" s="1491"/>
      <c r="AT74" s="556" t="str">
        <f t="shared" si="0"/>
        <v/>
      </c>
      <c r="AU74" s="651"/>
      <c r="AV74" s="1493" t="str">
        <f>IF(K74&lt;&gt;"","V列に色付け","")</f>
        <v/>
      </c>
      <c r="AW74" s="652" t="str">
        <f>IF('別紙様式2-2（４・５月分）'!O59="","",'別紙様式2-2（４・５月分）'!O59)</f>
        <v/>
      </c>
      <c r="AX74" s="1507" t="str">
        <f>IF(SUM('別紙様式2-2（４・５月分）'!P59:P61)=0,"",SUM('別紙様式2-2（４・５月分）'!P59:P61))</f>
        <v/>
      </c>
      <c r="AY74" s="1506" t="str">
        <f>IFERROR(VLOOKUP(K74,【参考】数式用!$AJ$2:$AK$24,2,FALSE),"")</f>
        <v/>
      </c>
      <c r="AZ74" s="1321" t="s">
        <v>2098</v>
      </c>
      <c r="BA74" s="1321" t="s">
        <v>2099</v>
      </c>
      <c r="BB74" s="1321" t="s">
        <v>2100</v>
      </c>
      <c r="BC74" s="1321" t="s">
        <v>2101</v>
      </c>
      <c r="BD74" s="1321" t="str">
        <f>IF(AND(P74&lt;&gt;"新加算Ⅰ",P74&lt;&gt;"新加算Ⅱ",P74&lt;&gt;"新加算Ⅲ",P74&lt;&gt;"新加算Ⅳ"),P74,IF(Q76&lt;&gt;"",Q76,""))</f>
        <v/>
      </c>
      <c r="BE74" s="1321"/>
      <c r="BF74" s="1321" t="str">
        <f t="shared" ref="BF74" si="59">IF(AM74&lt;&gt;0,IF(AN74="○","入力済","未入力"),"")</f>
        <v/>
      </c>
      <c r="BG74" s="1321"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321" t="str">
        <f>IF(OR(U74="新加算Ⅴ（７）",U74="新加算Ⅴ（９）",U74="新加算Ⅴ（10）",U74="新加算Ⅴ（12）",U74="新加算Ⅴ（13）",U74="新加算Ⅴ（14）"),IF(OR(AP74="○",AP74="令和６年度中に満たす"),"入力済","未入力"),"")</f>
        <v/>
      </c>
      <c r="BI74" s="1321" t="str">
        <f>IF(OR(U74="新加算Ⅰ",U74="新加算Ⅱ",U74="新加算Ⅲ",U74="新加算Ⅴ（１）",U74="新加算Ⅴ（３）",U74="新加算Ⅴ（８）"),IF(OR(AQ74="○",AQ74="令和６年度中に満たす"),"入力済","未入力"),"")</f>
        <v/>
      </c>
      <c r="BJ74" s="1512"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493" t="str">
        <f>IF(OR(U74="新加算Ⅰ",U74="新加算Ⅴ（１）",U74="新加算Ⅴ（２）",U74="新加算Ⅴ（５）",U74="新加算Ⅴ（７）",U74="新加算Ⅴ（10）"),IF(AS74="","未入力","入力済"),"")</f>
        <v/>
      </c>
      <c r="BL74" s="543" t="str">
        <f>G74</f>
        <v/>
      </c>
    </row>
    <row r="75" spans="1:64" ht="15" customHeight="1">
      <c r="A75" s="1226"/>
      <c r="B75" s="1272"/>
      <c r="C75" s="1261"/>
      <c r="D75" s="1261"/>
      <c r="E75" s="1261"/>
      <c r="F75" s="1262"/>
      <c r="G75" s="1266"/>
      <c r="H75" s="1266"/>
      <c r="I75" s="1266"/>
      <c r="J75" s="1372"/>
      <c r="K75" s="1266"/>
      <c r="L75" s="1247"/>
      <c r="M75" s="1374"/>
      <c r="N75" s="1370" t="str">
        <f>IF('別紙様式2-2（４・５月分）'!Q60="","",'別紙様式2-2（４・５月分）'!Q60)</f>
        <v/>
      </c>
      <c r="O75" s="1367"/>
      <c r="P75" s="1383"/>
      <c r="Q75" s="1384"/>
      <c r="R75" s="1385"/>
      <c r="S75" s="1393"/>
      <c r="T75" s="1414"/>
      <c r="U75" s="1416"/>
      <c r="V75" s="1458"/>
      <c r="W75" s="1351"/>
      <c r="X75" s="1353"/>
      <c r="Y75" s="1355"/>
      <c r="Z75" s="1353"/>
      <c r="AA75" s="1355"/>
      <c r="AB75" s="1353"/>
      <c r="AC75" s="1355"/>
      <c r="AD75" s="1353"/>
      <c r="AE75" s="1355"/>
      <c r="AF75" s="1355"/>
      <c r="AG75" s="1355"/>
      <c r="AH75" s="1361"/>
      <c r="AI75" s="1482"/>
      <c r="AJ75" s="1484"/>
      <c r="AK75" s="1486"/>
      <c r="AL75" s="1434"/>
      <c r="AM75" s="1488"/>
      <c r="AN75" s="1503"/>
      <c r="AO75" s="1365"/>
      <c r="AP75" s="1404"/>
      <c r="AQ75" s="1404"/>
      <c r="AR75" s="1490"/>
      <c r="AS75" s="1492"/>
      <c r="AT75" s="1331" t="str">
        <f t="shared" si="2"/>
        <v/>
      </c>
      <c r="AU75" s="651"/>
      <c r="AV75" s="1493"/>
      <c r="AW75" s="1518" t="str">
        <f>IF('別紙様式2-2（４・５月分）'!O60="","",'別紙様式2-2（４・５月分）'!O60)</f>
        <v/>
      </c>
      <c r="AX75" s="1507"/>
      <c r="AY75" s="1506"/>
      <c r="AZ75" s="1321"/>
      <c r="BA75" s="1321"/>
      <c r="BB75" s="1321"/>
      <c r="BC75" s="1321"/>
      <c r="BD75" s="1321"/>
      <c r="BE75" s="1321"/>
      <c r="BF75" s="1321"/>
      <c r="BG75" s="1321"/>
      <c r="BH75" s="1321"/>
      <c r="BI75" s="1321"/>
      <c r="BJ75" s="1512"/>
      <c r="BK75" s="1493"/>
      <c r="BL75" s="543" t="str">
        <f>G74</f>
        <v/>
      </c>
    </row>
    <row r="76" spans="1:64" ht="15" customHeight="1">
      <c r="A76" s="1240"/>
      <c r="B76" s="1272"/>
      <c r="C76" s="1261"/>
      <c r="D76" s="1261"/>
      <c r="E76" s="1261"/>
      <c r="F76" s="1262"/>
      <c r="G76" s="1266"/>
      <c r="H76" s="1266"/>
      <c r="I76" s="1266"/>
      <c r="J76" s="1372"/>
      <c r="K76" s="1266"/>
      <c r="L76" s="1247"/>
      <c r="M76" s="1374"/>
      <c r="N76" s="1371"/>
      <c r="O76" s="1368"/>
      <c r="P76" s="1390" t="s">
        <v>2179</v>
      </c>
      <c r="Q76" s="1386" t="str">
        <f>IFERROR(VLOOKUP('別紙様式2-2（４・５月分）'!AR59,【参考】数式用!$AT$5:$AV$22,3,FALSE),"")</f>
        <v/>
      </c>
      <c r="R76" s="1388" t="s">
        <v>2190</v>
      </c>
      <c r="S76" s="1394" t="str">
        <f>IFERROR(VLOOKUP(K74,【参考】数式用!$A$5:$AB$27,MATCH(Q76,【参考】数式用!$B$4:$AB$4,0)+1,0),"")</f>
        <v/>
      </c>
      <c r="T76" s="1459" t="s">
        <v>217</v>
      </c>
      <c r="U76" s="1461"/>
      <c r="V76" s="1463" t="str">
        <f>IFERROR(VLOOKUP(K74,【参考】数式用!$A$5:$AB$27,MATCH(U76,【参考】数式用!$B$4:$AB$4,0)+1,0),"")</f>
        <v/>
      </c>
      <c r="W76" s="1465" t="s">
        <v>19</v>
      </c>
      <c r="X76" s="1508">
        <v>7</v>
      </c>
      <c r="Y76" s="1407" t="s">
        <v>10</v>
      </c>
      <c r="Z76" s="1508">
        <v>4</v>
      </c>
      <c r="AA76" s="1407" t="s">
        <v>45</v>
      </c>
      <c r="AB76" s="1508">
        <v>8</v>
      </c>
      <c r="AC76" s="1407" t="s">
        <v>10</v>
      </c>
      <c r="AD76" s="1508">
        <v>3</v>
      </c>
      <c r="AE76" s="1407" t="s">
        <v>13</v>
      </c>
      <c r="AF76" s="1407" t="s">
        <v>24</v>
      </c>
      <c r="AG76" s="1407">
        <f>IF(X76&gt;=1,(AB76*12+AD76)-(X76*12+Z76)+1,"")</f>
        <v>12</v>
      </c>
      <c r="AH76" s="1409" t="s">
        <v>38</v>
      </c>
      <c r="AI76" s="1496" t="str">
        <f>IFERROR(ROUNDDOWN(ROUND(L74*V76,0)*M74,0)*AG76,"")</f>
        <v/>
      </c>
      <c r="AJ76" s="1510" t="str">
        <f>IFERROR(ROUNDDOWN(ROUND((L74*(V76-AX74)),0)*M74,0)*AG76,"")</f>
        <v/>
      </c>
      <c r="AK76" s="1494">
        <f>IFERROR(IF(OR(N74="",N75="",N77=""),0,ROUNDDOWN(ROUNDDOWN(ROUND(L74*VLOOKUP(K74,【参考】数式用!$A$5:$AB$27,MATCH("新加算Ⅳ",【参考】数式用!$B$4:$AB$4,0)+1,0),0)*M74,0)*AG76*0.5,0)),"")</f>
        <v>0</v>
      </c>
      <c r="AL76" s="1435" t="str">
        <f t="shared" ref="AL76" si="60">IF(U76&lt;&gt;"","新規に適用","")</f>
        <v/>
      </c>
      <c r="AM76" s="1498">
        <f>IFERROR(IF(OR(N77="ベア加算",N77=""),0, IF(OR(U74="新加算Ⅰ",U74="新加算Ⅱ",U74="新加算Ⅲ",U74="新加算Ⅳ"),0,ROUNDDOWN(ROUND(L74*VLOOKUP(K74,【参考】数式用!$A$5:$I$27,MATCH("ベア加算",【参考】数式用!$B$4:$I$4,0)+1,0),0)*M74,0)*AG76)),"")</f>
        <v>0</v>
      </c>
      <c r="AN76" s="1356" t="str">
        <f t="shared" ref="AN76" si="61">IF(AM76=0,"",IF(AND(U76&lt;&gt;"",AN74=""),"新規に適用",IF(AND(U76&lt;&gt;"",AN74&lt;&gt;""),"継続で適用","")))</f>
        <v/>
      </c>
      <c r="AO76" s="1356" t="str">
        <f>IF(AND(U76&lt;&gt;"",AO74=""),"新規に適用",IF(AND(U76&lt;&gt;"",AO74&lt;&gt;""),"継続で適用",""))</f>
        <v/>
      </c>
      <c r="AP76" s="1358"/>
      <c r="AQ76" s="1356" t="str">
        <f>IF(AND(U76&lt;&gt;"",AQ74=""),"新規に適用",IF(AND(U76&lt;&gt;"",AQ74&lt;&gt;""),"継続で適用",""))</f>
        <v/>
      </c>
      <c r="AR76" s="1344" t="str">
        <f t="shared" si="25"/>
        <v/>
      </c>
      <c r="AS76" s="1356" t="str">
        <f>IF(AND(U76&lt;&gt;"",AS74=""),"新規に適用",IF(AND(U76&lt;&gt;"",AS74&lt;&gt;""),"継続で適用",""))</f>
        <v/>
      </c>
      <c r="AT76" s="1331"/>
      <c r="AU76" s="651"/>
      <c r="AV76" s="1493" t="str">
        <f>IF(K74&lt;&gt;"","V列に色付け","")</f>
        <v/>
      </c>
      <c r="AW76" s="1518"/>
      <c r="AX76" s="1507"/>
      <c r="AY76" s="163"/>
      <c r="AZ76" s="163"/>
      <c r="BA76" s="163"/>
      <c r="BB76" s="163"/>
      <c r="BC76" s="163"/>
      <c r="BD76" s="163"/>
      <c r="BE76" s="163"/>
      <c r="BF76" s="163"/>
      <c r="BG76" s="163"/>
      <c r="BH76" s="163"/>
      <c r="BI76" s="163"/>
      <c r="BJ76" s="163"/>
      <c r="BK76" s="163"/>
      <c r="BL76" s="543" t="str">
        <f>G74</f>
        <v/>
      </c>
    </row>
    <row r="77" spans="1:64" ht="30" customHeight="1" thickBot="1">
      <c r="A77" s="1227"/>
      <c r="B77" s="1376"/>
      <c r="C77" s="1377"/>
      <c r="D77" s="1377"/>
      <c r="E77" s="1377"/>
      <c r="F77" s="1378"/>
      <c r="G77" s="1267"/>
      <c r="H77" s="1267"/>
      <c r="I77" s="1267"/>
      <c r="J77" s="1373"/>
      <c r="K77" s="1267"/>
      <c r="L77" s="1248"/>
      <c r="M77" s="1375"/>
      <c r="N77" s="650" t="str">
        <f>IF('別紙様式2-2（４・５月分）'!Q61="","",'別紙様式2-2（４・５月分）'!Q61)</f>
        <v/>
      </c>
      <c r="O77" s="1369"/>
      <c r="P77" s="1391"/>
      <c r="Q77" s="1387"/>
      <c r="R77" s="1389"/>
      <c r="S77" s="1395"/>
      <c r="T77" s="1460"/>
      <c r="U77" s="1462"/>
      <c r="V77" s="1464"/>
      <c r="W77" s="1466"/>
      <c r="X77" s="1509"/>
      <c r="Y77" s="1408"/>
      <c r="Z77" s="1509"/>
      <c r="AA77" s="1408"/>
      <c r="AB77" s="1509"/>
      <c r="AC77" s="1408"/>
      <c r="AD77" s="1509"/>
      <c r="AE77" s="1408"/>
      <c r="AF77" s="1408"/>
      <c r="AG77" s="1408"/>
      <c r="AH77" s="1410"/>
      <c r="AI77" s="1497"/>
      <c r="AJ77" s="1511"/>
      <c r="AK77" s="1495"/>
      <c r="AL77" s="1436"/>
      <c r="AM77" s="1499"/>
      <c r="AN77" s="1357"/>
      <c r="AO77" s="1357"/>
      <c r="AP77" s="1359"/>
      <c r="AQ77" s="1357"/>
      <c r="AR77" s="1345"/>
      <c r="AS77" s="1357"/>
      <c r="AT77" s="581" t="str">
        <f t="shared" ref="AT77" si="62">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51"/>
      <c r="AV77" s="1493"/>
      <c r="AW77" s="652" t="str">
        <f>IF('別紙様式2-2（４・５月分）'!O61="","",'別紙様式2-2（４・５月分）'!O61)</f>
        <v/>
      </c>
      <c r="AX77" s="1507"/>
      <c r="AY77" s="163"/>
      <c r="AZ77" s="163"/>
      <c r="BA77" s="163"/>
      <c r="BB77" s="163"/>
      <c r="BC77" s="163"/>
      <c r="BD77" s="163"/>
      <c r="BE77" s="163"/>
      <c r="BF77" s="163"/>
      <c r="BG77" s="163"/>
      <c r="BH77" s="163"/>
      <c r="BI77" s="163"/>
      <c r="BJ77" s="163"/>
      <c r="BK77" s="163"/>
      <c r="BL77" s="543" t="str">
        <f>G74</f>
        <v/>
      </c>
    </row>
    <row r="78" spans="1:64" ht="30" customHeight="1">
      <c r="A78" s="1225">
        <v>17</v>
      </c>
      <c r="B78" s="1271" t="str">
        <f>IF(基本情報入力シート!C70="","",基本情報入力シート!C70)</f>
        <v/>
      </c>
      <c r="C78" s="1259"/>
      <c r="D78" s="1259"/>
      <c r="E78" s="1259"/>
      <c r="F78" s="1260"/>
      <c r="G78" s="1265" t="str">
        <f>IF(基本情報入力シート!M70="","",基本情報入力シート!M70)</f>
        <v/>
      </c>
      <c r="H78" s="1265" t="str">
        <f>IF(基本情報入力シート!R70="","",基本情報入力シート!R70)</f>
        <v/>
      </c>
      <c r="I78" s="1265" t="str">
        <f>IF(基本情報入力シート!W70="","",基本情報入力シート!W70)</f>
        <v/>
      </c>
      <c r="J78" s="1379" t="str">
        <f>IF(基本情報入力シート!X70="","",基本情報入力シート!X70)</f>
        <v/>
      </c>
      <c r="K78" s="1265" t="str">
        <f>IF(基本情報入力シート!Y70="","",基本情報入力シート!Y70)</f>
        <v/>
      </c>
      <c r="L78" s="1246" t="str">
        <f>IF(基本情報入力シート!AB70="","",基本情報入力シート!AB70)</f>
        <v/>
      </c>
      <c r="M78" s="1249" t="str">
        <f>IF(基本情報入力シート!AC70="","",基本情報入力シート!AC70)</f>
        <v/>
      </c>
      <c r="N78" s="647" t="str">
        <f>IF('別紙様式2-2（４・５月分）'!Q62="","",'別紙様式2-2（４・５月分）'!Q62)</f>
        <v/>
      </c>
      <c r="O78" s="1366" t="str">
        <f>IF(SUM('別紙様式2-2（４・５月分）'!R62:R64)=0,"",SUM('別紙様式2-2（４・５月分）'!R62:R64))</f>
        <v/>
      </c>
      <c r="P78" s="1380" t="str">
        <f>IFERROR(VLOOKUP('別紙様式2-2（４・５月分）'!AR62,【参考】数式用!$AT$5:$AU$22,2,FALSE),"")</f>
        <v/>
      </c>
      <c r="Q78" s="1381"/>
      <c r="R78" s="1382"/>
      <c r="S78" s="1392" t="str">
        <f>IFERROR(VLOOKUP(K78,【参考】数式用!$A$5:$AB$27,MATCH(P78,【参考】数式用!$B$4:$AB$4,0)+1,0),"")</f>
        <v/>
      </c>
      <c r="T78" s="1413" t="s">
        <v>2173</v>
      </c>
      <c r="U78" s="1415"/>
      <c r="V78" s="1457" t="str">
        <f>IFERROR(VLOOKUP(K78,【参考】数式用!$A$5:$AB$27,MATCH(U78,【参考】数式用!$B$4:$AB$4,0)+1,0),"")</f>
        <v/>
      </c>
      <c r="W78" s="1350" t="s">
        <v>19</v>
      </c>
      <c r="X78" s="1352">
        <v>6</v>
      </c>
      <c r="Y78" s="1354" t="s">
        <v>10</v>
      </c>
      <c r="Z78" s="1352">
        <v>6</v>
      </c>
      <c r="AA78" s="1354" t="s">
        <v>45</v>
      </c>
      <c r="AB78" s="1352">
        <v>7</v>
      </c>
      <c r="AC78" s="1354" t="s">
        <v>10</v>
      </c>
      <c r="AD78" s="1352">
        <v>3</v>
      </c>
      <c r="AE78" s="1354" t="s">
        <v>13</v>
      </c>
      <c r="AF78" s="1354" t="s">
        <v>24</v>
      </c>
      <c r="AG78" s="1354">
        <f>IF(X78&gt;=1,(AB78*12+AD78)-(X78*12+Z78)+1,"")</f>
        <v>10</v>
      </c>
      <c r="AH78" s="1360" t="s">
        <v>38</v>
      </c>
      <c r="AI78" s="1481" t="str">
        <f>IFERROR(ROUNDDOWN(ROUND(L78*V78,0)*M78,0)*AG78,"")</f>
        <v/>
      </c>
      <c r="AJ78" s="1483" t="str">
        <f>IFERROR(ROUNDDOWN(ROUND((L78*(V78-AX78)),0)*M78,0)*AG78,"")</f>
        <v/>
      </c>
      <c r="AK78" s="1485">
        <f>IFERROR(IF(OR(N78="",N79="",N81=""),0,ROUNDDOWN(ROUNDDOWN(ROUND(L78*VLOOKUP(K78,【参考】数式用!$A$5:$AB$27,MATCH("新加算Ⅳ",【参考】数式用!$B$4:$AB$4,0)+1,0),0)*M78,0)*AG78*0.5,0)),"")</f>
        <v>0</v>
      </c>
      <c r="AL78" s="1433"/>
      <c r="AM78" s="1487">
        <f>IFERROR(IF(OR(N81="ベア加算",N81=""),0, IF(OR(U78="新加算Ⅰ",U78="新加算Ⅱ",U78="新加算Ⅲ",U78="新加算Ⅳ"),ROUNDDOWN(ROUND(L78*VLOOKUP(K78,【参考】数式用!$A$5:$I$27,MATCH("ベア加算",【参考】数式用!$B$4:$I$4,0)+1,0),0)*M78,0)*AG78,0)),"")</f>
        <v>0</v>
      </c>
      <c r="AN78" s="1502"/>
      <c r="AO78" s="1364"/>
      <c r="AP78" s="1403"/>
      <c r="AQ78" s="1403"/>
      <c r="AR78" s="1489"/>
      <c r="AS78" s="1491"/>
      <c r="AT78" s="556" t="str">
        <f t="shared" si="0"/>
        <v/>
      </c>
      <c r="AU78" s="651"/>
      <c r="AV78" s="1493" t="str">
        <f>IF(K78&lt;&gt;"","V列に色付け","")</f>
        <v/>
      </c>
      <c r="AW78" s="652" t="str">
        <f>IF('別紙様式2-2（４・５月分）'!O62="","",'別紙様式2-2（４・５月分）'!O62)</f>
        <v/>
      </c>
      <c r="AX78" s="1507" t="str">
        <f>IF(SUM('別紙様式2-2（４・５月分）'!P62:P64)=0,"",SUM('別紙様式2-2（４・５月分）'!P62:P64))</f>
        <v/>
      </c>
      <c r="AY78" s="1506" t="str">
        <f>IFERROR(VLOOKUP(K78,【参考】数式用!$AJ$2:$AK$24,2,FALSE),"")</f>
        <v/>
      </c>
      <c r="AZ78" s="1321" t="s">
        <v>2098</v>
      </c>
      <c r="BA78" s="1321" t="s">
        <v>2099</v>
      </c>
      <c r="BB78" s="1321" t="s">
        <v>2100</v>
      </c>
      <c r="BC78" s="1321" t="s">
        <v>2101</v>
      </c>
      <c r="BD78" s="1321" t="str">
        <f>IF(AND(P78&lt;&gt;"新加算Ⅰ",P78&lt;&gt;"新加算Ⅱ",P78&lt;&gt;"新加算Ⅲ",P78&lt;&gt;"新加算Ⅳ"),P78,IF(Q80&lt;&gt;"",Q80,""))</f>
        <v/>
      </c>
      <c r="BE78" s="1321"/>
      <c r="BF78" s="1321" t="str">
        <f t="shared" ref="BF78" si="63">IF(AM78&lt;&gt;0,IF(AN78="○","入力済","未入力"),"")</f>
        <v/>
      </c>
      <c r="BG78" s="1321"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321" t="str">
        <f>IF(OR(U78="新加算Ⅴ（７）",U78="新加算Ⅴ（９）",U78="新加算Ⅴ（10）",U78="新加算Ⅴ（12）",U78="新加算Ⅴ（13）",U78="新加算Ⅴ（14）"),IF(OR(AP78="○",AP78="令和６年度中に満たす"),"入力済","未入力"),"")</f>
        <v/>
      </c>
      <c r="BI78" s="1321" t="str">
        <f>IF(OR(U78="新加算Ⅰ",U78="新加算Ⅱ",U78="新加算Ⅲ",U78="新加算Ⅴ（１）",U78="新加算Ⅴ（３）",U78="新加算Ⅴ（８）"),IF(OR(AQ78="○",AQ78="令和６年度中に満たす"),"入力済","未入力"),"")</f>
        <v/>
      </c>
      <c r="BJ78" s="1512"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493" t="str">
        <f>IF(OR(U78="新加算Ⅰ",U78="新加算Ⅴ（１）",U78="新加算Ⅴ（２）",U78="新加算Ⅴ（５）",U78="新加算Ⅴ（７）",U78="新加算Ⅴ（10）"),IF(AS78="","未入力","入力済"),"")</f>
        <v/>
      </c>
      <c r="BL78" s="543" t="str">
        <f>G78</f>
        <v/>
      </c>
    </row>
    <row r="79" spans="1:64" ht="15" customHeight="1">
      <c r="A79" s="1226"/>
      <c r="B79" s="1272"/>
      <c r="C79" s="1261"/>
      <c r="D79" s="1261"/>
      <c r="E79" s="1261"/>
      <c r="F79" s="1262"/>
      <c r="G79" s="1266"/>
      <c r="H79" s="1266"/>
      <c r="I79" s="1266"/>
      <c r="J79" s="1372"/>
      <c r="K79" s="1266"/>
      <c r="L79" s="1247"/>
      <c r="M79" s="1250"/>
      <c r="N79" s="1370" t="str">
        <f>IF('別紙様式2-2（４・５月分）'!Q63="","",'別紙様式2-2（４・５月分）'!Q63)</f>
        <v/>
      </c>
      <c r="O79" s="1367"/>
      <c r="P79" s="1383"/>
      <c r="Q79" s="1384"/>
      <c r="R79" s="1385"/>
      <c r="S79" s="1393"/>
      <c r="T79" s="1414"/>
      <c r="U79" s="1416"/>
      <c r="V79" s="1458"/>
      <c r="W79" s="1351"/>
      <c r="X79" s="1353"/>
      <c r="Y79" s="1355"/>
      <c r="Z79" s="1353"/>
      <c r="AA79" s="1355"/>
      <c r="AB79" s="1353"/>
      <c r="AC79" s="1355"/>
      <c r="AD79" s="1353"/>
      <c r="AE79" s="1355"/>
      <c r="AF79" s="1355"/>
      <c r="AG79" s="1355"/>
      <c r="AH79" s="1361"/>
      <c r="AI79" s="1482"/>
      <c r="AJ79" s="1484"/>
      <c r="AK79" s="1486"/>
      <c r="AL79" s="1434"/>
      <c r="AM79" s="1488"/>
      <c r="AN79" s="1503"/>
      <c r="AO79" s="1365"/>
      <c r="AP79" s="1404"/>
      <c r="AQ79" s="1404"/>
      <c r="AR79" s="1490"/>
      <c r="AS79" s="1492"/>
      <c r="AT79" s="1331" t="str">
        <f t="shared" si="2"/>
        <v/>
      </c>
      <c r="AU79" s="651"/>
      <c r="AV79" s="1493"/>
      <c r="AW79" s="1518" t="str">
        <f>IF('別紙様式2-2（４・５月分）'!O63="","",'別紙様式2-2（４・５月分）'!O63)</f>
        <v/>
      </c>
      <c r="AX79" s="1507"/>
      <c r="AY79" s="1506"/>
      <c r="AZ79" s="1321"/>
      <c r="BA79" s="1321"/>
      <c r="BB79" s="1321"/>
      <c r="BC79" s="1321"/>
      <c r="BD79" s="1321"/>
      <c r="BE79" s="1321"/>
      <c r="BF79" s="1321"/>
      <c r="BG79" s="1321"/>
      <c r="BH79" s="1321"/>
      <c r="BI79" s="1321"/>
      <c r="BJ79" s="1512"/>
      <c r="BK79" s="1493"/>
      <c r="BL79" s="543" t="str">
        <f>G78</f>
        <v/>
      </c>
    </row>
    <row r="80" spans="1:64" ht="15" customHeight="1">
      <c r="A80" s="1240"/>
      <c r="B80" s="1272"/>
      <c r="C80" s="1261"/>
      <c r="D80" s="1261"/>
      <c r="E80" s="1261"/>
      <c r="F80" s="1262"/>
      <c r="G80" s="1266"/>
      <c r="H80" s="1266"/>
      <c r="I80" s="1266"/>
      <c r="J80" s="1372"/>
      <c r="K80" s="1266"/>
      <c r="L80" s="1247"/>
      <c r="M80" s="1250"/>
      <c r="N80" s="1371"/>
      <c r="O80" s="1368"/>
      <c r="P80" s="1390" t="s">
        <v>2179</v>
      </c>
      <c r="Q80" s="1386" t="str">
        <f>IFERROR(VLOOKUP('別紙様式2-2（４・５月分）'!AR62,【参考】数式用!$AT$5:$AV$22,3,FALSE),"")</f>
        <v/>
      </c>
      <c r="R80" s="1388" t="s">
        <v>2190</v>
      </c>
      <c r="S80" s="1396" t="str">
        <f>IFERROR(VLOOKUP(K78,【参考】数式用!$A$5:$AB$27,MATCH(Q80,【参考】数式用!$B$4:$AB$4,0)+1,0),"")</f>
        <v/>
      </c>
      <c r="T80" s="1459" t="s">
        <v>217</v>
      </c>
      <c r="U80" s="1461"/>
      <c r="V80" s="1463" t="str">
        <f>IFERROR(VLOOKUP(K78,【参考】数式用!$A$5:$AB$27,MATCH(U80,【参考】数式用!$B$4:$AB$4,0)+1,0),"")</f>
        <v/>
      </c>
      <c r="W80" s="1465" t="s">
        <v>19</v>
      </c>
      <c r="X80" s="1508">
        <v>7</v>
      </c>
      <c r="Y80" s="1407" t="s">
        <v>10</v>
      </c>
      <c r="Z80" s="1508">
        <v>4</v>
      </c>
      <c r="AA80" s="1407" t="s">
        <v>45</v>
      </c>
      <c r="AB80" s="1508">
        <v>8</v>
      </c>
      <c r="AC80" s="1407" t="s">
        <v>10</v>
      </c>
      <c r="AD80" s="1508">
        <v>3</v>
      </c>
      <c r="AE80" s="1407" t="s">
        <v>13</v>
      </c>
      <c r="AF80" s="1407" t="s">
        <v>24</v>
      </c>
      <c r="AG80" s="1407">
        <f>IF(X80&gt;=1,(AB80*12+AD80)-(X80*12+Z80)+1,"")</f>
        <v>12</v>
      </c>
      <c r="AH80" s="1409" t="s">
        <v>38</v>
      </c>
      <c r="AI80" s="1496" t="str">
        <f>IFERROR(ROUNDDOWN(ROUND(L78*V80,0)*M78,0)*AG80,"")</f>
        <v/>
      </c>
      <c r="AJ80" s="1510" t="str">
        <f>IFERROR(ROUNDDOWN(ROUND((L78*(V80-AX78)),0)*M78,0)*AG80,"")</f>
        <v/>
      </c>
      <c r="AK80" s="1494">
        <f>IFERROR(IF(OR(N78="",N79="",N81=""),0,ROUNDDOWN(ROUNDDOWN(ROUND(L78*VLOOKUP(K78,【参考】数式用!$A$5:$AB$27,MATCH("新加算Ⅳ",【参考】数式用!$B$4:$AB$4,0)+1,0),0)*M78,0)*AG80*0.5,0)),"")</f>
        <v>0</v>
      </c>
      <c r="AL80" s="1435" t="str">
        <f t="shared" ref="AL80" si="64">IF(U80&lt;&gt;"","新規に適用","")</f>
        <v/>
      </c>
      <c r="AM80" s="1498">
        <f>IFERROR(IF(OR(N81="ベア加算",N81=""),0, IF(OR(U78="新加算Ⅰ",U78="新加算Ⅱ",U78="新加算Ⅲ",U78="新加算Ⅳ"),0,ROUNDDOWN(ROUND(L78*VLOOKUP(K78,【参考】数式用!$A$5:$I$27,MATCH("ベア加算",【参考】数式用!$B$4:$I$4,0)+1,0),0)*M78,0)*AG80)),"")</f>
        <v>0</v>
      </c>
      <c r="AN80" s="1356" t="str">
        <f t="shared" ref="AN80" si="65">IF(AM80=0,"",IF(AND(U80&lt;&gt;"",AN78=""),"新規に適用",IF(AND(U80&lt;&gt;"",AN78&lt;&gt;""),"継続で適用","")))</f>
        <v/>
      </c>
      <c r="AO80" s="1356" t="str">
        <f>IF(AND(U80&lt;&gt;"",AO78=""),"新規に適用",IF(AND(U80&lt;&gt;"",AO78&lt;&gt;""),"継続で適用",""))</f>
        <v/>
      </c>
      <c r="AP80" s="1358"/>
      <c r="AQ80" s="1356" t="str">
        <f>IF(AND(U80&lt;&gt;"",AQ78=""),"新規に適用",IF(AND(U80&lt;&gt;"",AQ78&lt;&gt;""),"継続で適用",""))</f>
        <v/>
      </c>
      <c r="AR80" s="1344" t="str">
        <f t="shared" si="25"/>
        <v/>
      </c>
      <c r="AS80" s="1356" t="str">
        <f>IF(AND(U80&lt;&gt;"",AS78=""),"新規に適用",IF(AND(U80&lt;&gt;"",AS78&lt;&gt;""),"継続で適用",""))</f>
        <v/>
      </c>
      <c r="AT80" s="1331"/>
      <c r="AU80" s="651"/>
      <c r="AV80" s="1493" t="str">
        <f>IF(K78&lt;&gt;"","V列に色付け","")</f>
        <v/>
      </c>
      <c r="AW80" s="1518"/>
      <c r="AX80" s="1507"/>
      <c r="AY80" s="163"/>
      <c r="AZ80" s="163"/>
      <c r="BA80" s="163"/>
      <c r="BB80" s="163"/>
      <c r="BC80" s="163"/>
      <c r="BD80" s="163"/>
      <c r="BE80" s="163"/>
      <c r="BF80" s="163"/>
      <c r="BG80" s="163"/>
      <c r="BH80" s="163"/>
      <c r="BI80" s="163"/>
      <c r="BJ80" s="163"/>
      <c r="BK80" s="163"/>
      <c r="BL80" s="543" t="str">
        <f>G78</f>
        <v/>
      </c>
    </row>
    <row r="81" spans="1:64" ht="30" customHeight="1" thickBot="1">
      <c r="A81" s="1227"/>
      <c r="B81" s="1376"/>
      <c r="C81" s="1377"/>
      <c r="D81" s="1377"/>
      <c r="E81" s="1377"/>
      <c r="F81" s="1378"/>
      <c r="G81" s="1267"/>
      <c r="H81" s="1267"/>
      <c r="I81" s="1267"/>
      <c r="J81" s="1373"/>
      <c r="K81" s="1267"/>
      <c r="L81" s="1248"/>
      <c r="M81" s="1251"/>
      <c r="N81" s="650" t="str">
        <f>IF('別紙様式2-2（４・５月分）'!Q64="","",'別紙様式2-2（４・５月分）'!Q64)</f>
        <v/>
      </c>
      <c r="O81" s="1369"/>
      <c r="P81" s="1391"/>
      <c r="Q81" s="1387"/>
      <c r="R81" s="1389"/>
      <c r="S81" s="1395"/>
      <c r="T81" s="1460"/>
      <c r="U81" s="1462"/>
      <c r="V81" s="1464"/>
      <c r="W81" s="1466"/>
      <c r="X81" s="1509"/>
      <c r="Y81" s="1408"/>
      <c r="Z81" s="1509"/>
      <c r="AA81" s="1408"/>
      <c r="AB81" s="1509"/>
      <c r="AC81" s="1408"/>
      <c r="AD81" s="1509"/>
      <c r="AE81" s="1408"/>
      <c r="AF81" s="1408"/>
      <c r="AG81" s="1408"/>
      <c r="AH81" s="1410"/>
      <c r="AI81" s="1497"/>
      <c r="AJ81" s="1511"/>
      <c r="AK81" s="1495"/>
      <c r="AL81" s="1436"/>
      <c r="AM81" s="1499"/>
      <c r="AN81" s="1357"/>
      <c r="AO81" s="1357"/>
      <c r="AP81" s="1359"/>
      <c r="AQ81" s="1357"/>
      <c r="AR81" s="1345"/>
      <c r="AS81" s="1357"/>
      <c r="AT81" s="581" t="str">
        <f t="shared" ref="AT81" si="66">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51"/>
      <c r="AV81" s="1493"/>
      <c r="AW81" s="652" t="str">
        <f>IF('別紙様式2-2（４・５月分）'!O64="","",'別紙様式2-2（４・５月分）'!O64)</f>
        <v/>
      </c>
      <c r="AX81" s="1507"/>
      <c r="AY81" s="163"/>
      <c r="AZ81" s="163"/>
      <c r="BA81" s="163"/>
      <c r="BB81" s="163"/>
      <c r="BC81" s="163"/>
      <c r="BD81" s="163"/>
      <c r="BE81" s="163"/>
      <c r="BF81" s="163"/>
      <c r="BG81" s="163"/>
      <c r="BH81" s="163"/>
      <c r="BI81" s="163"/>
      <c r="BJ81" s="163"/>
      <c r="BK81" s="163"/>
      <c r="BL81" s="543" t="str">
        <f>G78</f>
        <v/>
      </c>
    </row>
    <row r="82" spans="1:64" ht="30" customHeight="1">
      <c r="A82" s="1241">
        <v>18</v>
      </c>
      <c r="B82" s="1272" t="str">
        <f>IF(基本情報入力シート!C71="","",基本情報入力シート!C71)</f>
        <v/>
      </c>
      <c r="C82" s="1261"/>
      <c r="D82" s="1261"/>
      <c r="E82" s="1261"/>
      <c r="F82" s="1262"/>
      <c r="G82" s="1266" t="str">
        <f>IF(基本情報入力シート!M71="","",基本情報入力シート!M71)</f>
        <v/>
      </c>
      <c r="H82" s="1266" t="str">
        <f>IF(基本情報入力シート!R71="","",基本情報入力シート!R71)</f>
        <v/>
      </c>
      <c r="I82" s="1266" t="str">
        <f>IF(基本情報入力シート!W71="","",基本情報入力シート!W71)</f>
        <v/>
      </c>
      <c r="J82" s="1372" t="str">
        <f>IF(基本情報入力シート!X71="","",基本情報入力シート!X71)</f>
        <v/>
      </c>
      <c r="K82" s="1266" t="str">
        <f>IF(基本情報入力シート!Y71="","",基本情報入力シート!Y71)</f>
        <v/>
      </c>
      <c r="L82" s="1247" t="str">
        <f>IF(基本情報入力シート!AB71="","",基本情報入力シート!AB71)</f>
        <v/>
      </c>
      <c r="M82" s="1374" t="str">
        <f>IF(基本情報入力シート!AC71="","",基本情報入力シート!AC71)</f>
        <v/>
      </c>
      <c r="N82" s="647" t="str">
        <f>IF('別紙様式2-2（４・５月分）'!Q65="","",'別紙様式2-2（４・５月分）'!Q65)</f>
        <v/>
      </c>
      <c r="O82" s="1366" t="str">
        <f>IF(SUM('別紙様式2-2（４・５月分）'!R65:R67)=0,"",SUM('別紙様式2-2（４・５月分）'!R65:R67))</f>
        <v/>
      </c>
      <c r="P82" s="1380" t="str">
        <f>IFERROR(VLOOKUP('別紙様式2-2（４・５月分）'!AR65,【参考】数式用!$AT$5:$AU$22,2,FALSE),"")</f>
        <v/>
      </c>
      <c r="Q82" s="1381"/>
      <c r="R82" s="1382"/>
      <c r="S82" s="1392" t="str">
        <f>IFERROR(VLOOKUP(K82,【参考】数式用!$A$5:$AB$27,MATCH(P82,【参考】数式用!$B$4:$AB$4,0)+1,0),"")</f>
        <v/>
      </c>
      <c r="T82" s="1413" t="s">
        <v>2173</v>
      </c>
      <c r="U82" s="1415"/>
      <c r="V82" s="1457" t="str">
        <f>IFERROR(VLOOKUP(K82,【参考】数式用!$A$5:$AB$27,MATCH(U82,【参考】数式用!$B$4:$AB$4,0)+1,0),"")</f>
        <v/>
      </c>
      <c r="W82" s="1350" t="s">
        <v>19</v>
      </c>
      <c r="X82" s="1352">
        <v>6</v>
      </c>
      <c r="Y82" s="1354" t="s">
        <v>10</v>
      </c>
      <c r="Z82" s="1352">
        <v>6</v>
      </c>
      <c r="AA82" s="1354" t="s">
        <v>45</v>
      </c>
      <c r="AB82" s="1352">
        <v>7</v>
      </c>
      <c r="AC82" s="1354" t="s">
        <v>10</v>
      </c>
      <c r="AD82" s="1352">
        <v>3</v>
      </c>
      <c r="AE82" s="1354" t="s">
        <v>13</v>
      </c>
      <c r="AF82" s="1354" t="s">
        <v>24</v>
      </c>
      <c r="AG82" s="1354">
        <f>IF(X82&gt;=1,(AB82*12+AD82)-(X82*12+Z82)+1,"")</f>
        <v>10</v>
      </c>
      <c r="AH82" s="1360" t="s">
        <v>38</v>
      </c>
      <c r="AI82" s="1481" t="str">
        <f>IFERROR(ROUNDDOWN(ROUND(L82*V82,0)*M82,0)*AG82,"")</f>
        <v/>
      </c>
      <c r="AJ82" s="1483" t="str">
        <f>IFERROR(ROUNDDOWN(ROUND((L82*(V82-AX82)),0)*M82,0)*AG82,"")</f>
        <v/>
      </c>
      <c r="AK82" s="1485">
        <f>IFERROR(IF(OR(N82="",N83="",N85=""),0,ROUNDDOWN(ROUNDDOWN(ROUND(L82*VLOOKUP(K82,【参考】数式用!$A$5:$AB$27,MATCH("新加算Ⅳ",【参考】数式用!$B$4:$AB$4,0)+1,0),0)*M82,0)*AG82*0.5,0)),"")</f>
        <v>0</v>
      </c>
      <c r="AL82" s="1433"/>
      <c r="AM82" s="1487">
        <f>IFERROR(IF(OR(N85="ベア加算",N85=""),0, IF(OR(U82="新加算Ⅰ",U82="新加算Ⅱ",U82="新加算Ⅲ",U82="新加算Ⅳ"),ROUNDDOWN(ROUND(L82*VLOOKUP(K82,【参考】数式用!$A$5:$I$27,MATCH("ベア加算",【参考】数式用!$B$4:$I$4,0)+1,0),0)*M82,0)*AG82,0)),"")</f>
        <v>0</v>
      </c>
      <c r="AN82" s="1502"/>
      <c r="AO82" s="1364"/>
      <c r="AP82" s="1403"/>
      <c r="AQ82" s="1403"/>
      <c r="AR82" s="1489"/>
      <c r="AS82" s="1491"/>
      <c r="AT82" s="556" t="str">
        <f t="shared" ref="AT82:AT142" si="67">IF(AV82="","",IF(V82&lt;O82,"！加算の要件上は問題ありませんが、令和６年４・５月と比較して令和６年６月に加算率が下がる計画になっています。",""))</f>
        <v/>
      </c>
      <c r="AU82" s="651"/>
      <c r="AV82" s="1493" t="str">
        <f>IF(K82&lt;&gt;"","V列に色付け","")</f>
        <v/>
      </c>
      <c r="AW82" s="652" t="str">
        <f>IF('別紙様式2-2（４・５月分）'!O65="","",'別紙様式2-2（４・５月分）'!O65)</f>
        <v/>
      </c>
      <c r="AX82" s="1507" t="str">
        <f>IF(SUM('別紙様式2-2（４・５月分）'!P65:P67)=0,"",SUM('別紙様式2-2（４・５月分）'!P65:P67))</f>
        <v/>
      </c>
      <c r="AY82" s="1506" t="str">
        <f>IFERROR(VLOOKUP(K82,【参考】数式用!$AJ$2:$AK$24,2,FALSE),"")</f>
        <v/>
      </c>
      <c r="AZ82" s="1321" t="s">
        <v>2098</v>
      </c>
      <c r="BA82" s="1321" t="s">
        <v>2099</v>
      </c>
      <c r="BB82" s="1321" t="s">
        <v>2100</v>
      </c>
      <c r="BC82" s="1321" t="s">
        <v>2101</v>
      </c>
      <c r="BD82" s="1321" t="str">
        <f>IF(AND(P82&lt;&gt;"新加算Ⅰ",P82&lt;&gt;"新加算Ⅱ",P82&lt;&gt;"新加算Ⅲ",P82&lt;&gt;"新加算Ⅳ"),P82,IF(Q84&lt;&gt;"",Q84,""))</f>
        <v/>
      </c>
      <c r="BE82" s="1321"/>
      <c r="BF82" s="1321" t="str">
        <f t="shared" ref="BF82" si="68">IF(AM82&lt;&gt;0,IF(AN82="○","入力済","未入力"),"")</f>
        <v/>
      </c>
      <c r="BG82" s="1321"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321" t="str">
        <f>IF(OR(U82="新加算Ⅴ（７）",U82="新加算Ⅴ（９）",U82="新加算Ⅴ（10）",U82="新加算Ⅴ（12）",U82="新加算Ⅴ（13）",U82="新加算Ⅴ（14）"),IF(OR(AP82="○",AP82="令和６年度中に満たす"),"入力済","未入力"),"")</f>
        <v/>
      </c>
      <c r="BI82" s="1321" t="str">
        <f>IF(OR(U82="新加算Ⅰ",U82="新加算Ⅱ",U82="新加算Ⅲ",U82="新加算Ⅴ（１）",U82="新加算Ⅴ（３）",U82="新加算Ⅴ（８）"),IF(OR(AQ82="○",AQ82="令和６年度中に満たす"),"入力済","未入力"),"")</f>
        <v/>
      </c>
      <c r="BJ82" s="1512"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493" t="str">
        <f>IF(OR(U82="新加算Ⅰ",U82="新加算Ⅴ（１）",U82="新加算Ⅴ（２）",U82="新加算Ⅴ（５）",U82="新加算Ⅴ（７）",U82="新加算Ⅴ（10）"),IF(AS82="","未入力","入力済"),"")</f>
        <v/>
      </c>
      <c r="BL82" s="543" t="str">
        <f>G82</f>
        <v/>
      </c>
    </row>
    <row r="83" spans="1:64" ht="15" customHeight="1">
      <c r="A83" s="1226"/>
      <c r="B83" s="1272"/>
      <c r="C83" s="1261"/>
      <c r="D83" s="1261"/>
      <c r="E83" s="1261"/>
      <c r="F83" s="1262"/>
      <c r="G83" s="1266"/>
      <c r="H83" s="1266"/>
      <c r="I83" s="1266"/>
      <c r="J83" s="1372"/>
      <c r="K83" s="1266"/>
      <c r="L83" s="1247"/>
      <c r="M83" s="1374"/>
      <c r="N83" s="1370" t="str">
        <f>IF('別紙様式2-2（４・５月分）'!Q66="","",'別紙様式2-2（４・５月分）'!Q66)</f>
        <v/>
      </c>
      <c r="O83" s="1367"/>
      <c r="P83" s="1383"/>
      <c r="Q83" s="1384"/>
      <c r="R83" s="1385"/>
      <c r="S83" s="1393"/>
      <c r="T83" s="1414"/>
      <c r="U83" s="1416"/>
      <c r="V83" s="1458"/>
      <c r="W83" s="1351"/>
      <c r="X83" s="1353"/>
      <c r="Y83" s="1355"/>
      <c r="Z83" s="1353"/>
      <c r="AA83" s="1355"/>
      <c r="AB83" s="1353"/>
      <c r="AC83" s="1355"/>
      <c r="AD83" s="1353"/>
      <c r="AE83" s="1355"/>
      <c r="AF83" s="1355"/>
      <c r="AG83" s="1355"/>
      <c r="AH83" s="1361"/>
      <c r="AI83" s="1482"/>
      <c r="AJ83" s="1484"/>
      <c r="AK83" s="1486"/>
      <c r="AL83" s="1434"/>
      <c r="AM83" s="1488"/>
      <c r="AN83" s="1503"/>
      <c r="AO83" s="1365"/>
      <c r="AP83" s="1404"/>
      <c r="AQ83" s="1404"/>
      <c r="AR83" s="1490"/>
      <c r="AS83" s="1492"/>
      <c r="AT83" s="1331" t="str">
        <f t="shared" ref="AT83:AT143" si="69">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51"/>
      <c r="AV83" s="1493"/>
      <c r="AW83" s="1518" t="str">
        <f>IF('別紙様式2-2（４・５月分）'!O66="","",'別紙様式2-2（４・５月分）'!O66)</f>
        <v/>
      </c>
      <c r="AX83" s="1507"/>
      <c r="AY83" s="1506"/>
      <c r="AZ83" s="1321"/>
      <c r="BA83" s="1321"/>
      <c r="BB83" s="1321"/>
      <c r="BC83" s="1321"/>
      <c r="BD83" s="1321"/>
      <c r="BE83" s="1321"/>
      <c r="BF83" s="1321"/>
      <c r="BG83" s="1321"/>
      <c r="BH83" s="1321"/>
      <c r="BI83" s="1321"/>
      <c r="BJ83" s="1512"/>
      <c r="BK83" s="1493"/>
      <c r="BL83" s="543" t="str">
        <f>G82</f>
        <v/>
      </c>
    </row>
    <row r="84" spans="1:64" ht="15" customHeight="1">
      <c r="A84" s="1240"/>
      <c r="B84" s="1272"/>
      <c r="C84" s="1261"/>
      <c r="D84" s="1261"/>
      <c r="E84" s="1261"/>
      <c r="F84" s="1262"/>
      <c r="G84" s="1266"/>
      <c r="H84" s="1266"/>
      <c r="I84" s="1266"/>
      <c r="J84" s="1372"/>
      <c r="K84" s="1266"/>
      <c r="L84" s="1247"/>
      <c r="M84" s="1374"/>
      <c r="N84" s="1371"/>
      <c r="O84" s="1368"/>
      <c r="P84" s="1390" t="s">
        <v>2179</v>
      </c>
      <c r="Q84" s="1386" t="str">
        <f>IFERROR(VLOOKUP('別紙様式2-2（４・５月分）'!AR65,【参考】数式用!$AT$5:$AV$22,3,FALSE),"")</f>
        <v/>
      </c>
      <c r="R84" s="1388" t="s">
        <v>2190</v>
      </c>
      <c r="S84" s="1394" t="str">
        <f>IFERROR(VLOOKUP(K82,【参考】数式用!$A$5:$AB$27,MATCH(Q84,【参考】数式用!$B$4:$AB$4,0)+1,0),"")</f>
        <v/>
      </c>
      <c r="T84" s="1459" t="s">
        <v>217</v>
      </c>
      <c r="U84" s="1461"/>
      <c r="V84" s="1463" t="str">
        <f>IFERROR(VLOOKUP(K82,【参考】数式用!$A$5:$AB$27,MATCH(U84,【参考】数式用!$B$4:$AB$4,0)+1,0),"")</f>
        <v/>
      </c>
      <c r="W84" s="1465" t="s">
        <v>19</v>
      </c>
      <c r="X84" s="1508">
        <v>7</v>
      </c>
      <c r="Y84" s="1407" t="s">
        <v>10</v>
      </c>
      <c r="Z84" s="1508">
        <v>4</v>
      </c>
      <c r="AA84" s="1407" t="s">
        <v>45</v>
      </c>
      <c r="AB84" s="1508">
        <v>8</v>
      </c>
      <c r="AC84" s="1407" t="s">
        <v>10</v>
      </c>
      <c r="AD84" s="1508">
        <v>3</v>
      </c>
      <c r="AE84" s="1407" t="s">
        <v>13</v>
      </c>
      <c r="AF84" s="1407" t="s">
        <v>24</v>
      </c>
      <c r="AG84" s="1407">
        <f>IF(X84&gt;=1,(AB84*12+AD84)-(X84*12+Z84)+1,"")</f>
        <v>12</v>
      </c>
      <c r="AH84" s="1409" t="s">
        <v>38</v>
      </c>
      <c r="AI84" s="1496" t="str">
        <f>IFERROR(ROUNDDOWN(ROUND(L82*V84,0)*M82,0)*AG84,"")</f>
        <v/>
      </c>
      <c r="AJ84" s="1510" t="str">
        <f>IFERROR(ROUNDDOWN(ROUND((L82*(V84-AX82)),0)*M82,0)*AG84,"")</f>
        <v/>
      </c>
      <c r="AK84" s="1494">
        <f>IFERROR(IF(OR(N82="",N83="",N85=""),0,ROUNDDOWN(ROUNDDOWN(ROUND(L82*VLOOKUP(K82,【参考】数式用!$A$5:$AB$27,MATCH("新加算Ⅳ",【参考】数式用!$B$4:$AB$4,0)+1,0),0)*M82,0)*AG84*0.5,0)),"")</f>
        <v>0</v>
      </c>
      <c r="AL84" s="1435" t="str">
        <f t="shared" ref="AL84" si="70">IF(U84&lt;&gt;"","新規に適用","")</f>
        <v/>
      </c>
      <c r="AM84" s="1498">
        <f>IFERROR(IF(OR(N85="ベア加算",N85=""),0, IF(OR(U82="新加算Ⅰ",U82="新加算Ⅱ",U82="新加算Ⅲ",U82="新加算Ⅳ"),0,ROUNDDOWN(ROUND(L82*VLOOKUP(K82,【参考】数式用!$A$5:$I$27,MATCH("ベア加算",【参考】数式用!$B$4:$I$4,0)+1,0),0)*M82,0)*AG84)),"")</f>
        <v>0</v>
      </c>
      <c r="AN84" s="1356" t="str">
        <f t="shared" ref="AN84" si="71">IF(AM84=0,"",IF(AND(U84&lt;&gt;"",AN82=""),"新規に適用",IF(AND(U84&lt;&gt;"",AN82&lt;&gt;""),"継続で適用","")))</f>
        <v/>
      </c>
      <c r="AO84" s="1356" t="str">
        <f>IF(AND(U84&lt;&gt;"",AO82=""),"新規に適用",IF(AND(U84&lt;&gt;"",AO82&lt;&gt;""),"継続で適用",""))</f>
        <v/>
      </c>
      <c r="AP84" s="1358"/>
      <c r="AQ84" s="1356" t="str">
        <f>IF(AND(U84&lt;&gt;"",AQ82=""),"新規に適用",IF(AND(U84&lt;&gt;"",AQ82&lt;&gt;""),"継続で適用",""))</f>
        <v/>
      </c>
      <c r="AR84" s="1344" t="str">
        <f t="shared" si="25"/>
        <v/>
      </c>
      <c r="AS84" s="1356" t="str">
        <f>IF(AND(U84&lt;&gt;"",AS82=""),"新規に適用",IF(AND(U84&lt;&gt;"",AS82&lt;&gt;""),"継続で適用",""))</f>
        <v/>
      </c>
      <c r="AT84" s="1331"/>
      <c r="AU84" s="651"/>
      <c r="AV84" s="1493" t="str">
        <f>IF(K82&lt;&gt;"","V列に色付け","")</f>
        <v/>
      </c>
      <c r="AW84" s="1518"/>
      <c r="AX84" s="1507"/>
      <c r="AY84" s="163"/>
      <c r="AZ84" s="163"/>
      <c r="BA84" s="163"/>
      <c r="BB84" s="163"/>
      <c r="BC84" s="163"/>
      <c r="BD84" s="163"/>
      <c r="BE84" s="163"/>
      <c r="BF84" s="163"/>
      <c r="BG84" s="163"/>
      <c r="BH84" s="163"/>
      <c r="BI84" s="163"/>
      <c r="BJ84" s="163"/>
      <c r="BK84" s="163"/>
      <c r="BL84" s="543" t="str">
        <f>G82</f>
        <v/>
      </c>
    </row>
    <row r="85" spans="1:64" ht="30" customHeight="1" thickBot="1">
      <c r="A85" s="1227"/>
      <c r="B85" s="1376"/>
      <c r="C85" s="1377"/>
      <c r="D85" s="1377"/>
      <c r="E85" s="1377"/>
      <c r="F85" s="1378"/>
      <c r="G85" s="1267"/>
      <c r="H85" s="1267"/>
      <c r="I85" s="1267"/>
      <c r="J85" s="1373"/>
      <c r="K85" s="1267"/>
      <c r="L85" s="1248"/>
      <c r="M85" s="1375"/>
      <c r="N85" s="650" t="str">
        <f>IF('別紙様式2-2（４・５月分）'!Q67="","",'別紙様式2-2（４・５月分）'!Q67)</f>
        <v/>
      </c>
      <c r="O85" s="1369"/>
      <c r="P85" s="1391"/>
      <c r="Q85" s="1387"/>
      <c r="R85" s="1389"/>
      <c r="S85" s="1395"/>
      <c r="T85" s="1460"/>
      <c r="U85" s="1462"/>
      <c r="V85" s="1464"/>
      <c r="W85" s="1466"/>
      <c r="X85" s="1509"/>
      <c r="Y85" s="1408"/>
      <c r="Z85" s="1509"/>
      <c r="AA85" s="1408"/>
      <c r="AB85" s="1509"/>
      <c r="AC85" s="1408"/>
      <c r="AD85" s="1509"/>
      <c r="AE85" s="1408"/>
      <c r="AF85" s="1408"/>
      <c r="AG85" s="1408"/>
      <c r="AH85" s="1410"/>
      <c r="AI85" s="1497"/>
      <c r="AJ85" s="1511"/>
      <c r="AK85" s="1495"/>
      <c r="AL85" s="1436"/>
      <c r="AM85" s="1499"/>
      <c r="AN85" s="1357"/>
      <c r="AO85" s="1357"/>
      <c r="AP85" s="1359"/>
      <c r="AQ85" s="1357"/>
      <c r="AR85" s="1345"/>
      <c r="AS85" s="1357"/>
      <c r="AT85" s="581" t="str">
        <f t="shared" ref="AT85" si="72">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51"/>
      <c r="AV85" s="1493"/>
      <c r="AW85" s="652" t="str">
        <f>IF('別紙様式2-2（４・５月分）'!O67="","",'別紙様式2-2（４・５月分）'!O67)</f>
        <v/>
      </c>
      <c r="AX85" s="1507"/>
      <c r="AY85" s="163"/>
      <c r="AZ85" s="163"/>
      <c r="BA85" s="163"/>
      <c r="BB85" s="163"/>
      <c r="BC85" s="163"/>
      <c r="BD85" s="163"/>
      <c r="BE85" s="163"/>
      <c r="BF85" s="163"/>
      <c r="BG85" s="163"/>
      <c r="BH85" s="163"/>
      <c r="BI85" s="163"/>
      <c r="BJ85" s="163"/>
      <c r="BK85" s="163"/>
      <c r="BL85" s="543" t="str">
        <f>G82</f>
        <v/>
      </c>
    </row>
    <row r="86" spans="1:64" ht="30" customHeight="1">
      <c r="A86" s="1225">
        <v>19</v>
      </c>
      <c r="B86" s="1271" t="str">
        <f>IF(基本情報入力シート!C72="","",基本情報入力シート!C72)</f>
        <v/>
      </c>
      <c r="C86" s="1259"/>
      <c r="D86" s="1259"/>
      <c r="E86" s="1259"/>
      <c r="F86" s="1260"/>
      <c r="G86" s="1265" t="str">
        <f>IF(基本情報入力シート!M72="","",基本情報入力シート!M72)</f>
        <v/>
      </c>
      <c r="H86" s="1265" t="str">
        <f>IF(基本情報入力シート!R72="","",基本情報入力シート!R72)</f>
        <v/>
      </c>
      <c r="I86" s="1265" t="str">
        <f>IF(基本情報入力シート!W72="","",基本情報入力シート!W72)</f>
        <v/>
      </c>
      <c r="J86" s="1379" t="str">
        <f>IF(基本情報入力シート!X72="","",基本情報入力シート!X72)</f>
        <v/>
      </c>
      <c r="K86" s="1265" t="str">
        <f>IF(基本情報入力シート!Y72="","",基本情報入力シート!Y72)</f>
        <v/>
      </c>
      <c r="L86" s="1246" t="str">
        <f>IF(基本情報入力シート!AB72="","",基本情報入力シート!AB72)</f>
        <v/>
      </c>
      <c r="M86" s="1249" t="str">
        <f>IF(基本情報入力シート!AC72="","",基本情報入力シート!AC72)</f>
        <v/>
      </c>
      <c r="N86" s="647" t="str">
        <f>IF('別紙様式2-2（４・５月分）'!Q68="","",'別紙様式2-2（４・５月分）'!Q68)</f>
        <v/>
      </c>
      <c r="O86" s="1366" t="str">
        <f>IF(SUM('別紙様式2-2（４・５月分）'!R68:R70)=0,"",SUM('別紙様式2-2（４・５月分）'!R68:R70))</f>
        <v/>
      </c>
      <c r="P86" s="1380" t="str">
        <f>IFERROR(VLOOKUP('別紙様式2-2（４・５月分）'!AR68,【参考】数式用!$AT$5:$AU$22,2,FALSE),"")</f>
        <v/>
      </c>
      <c r="Q86" s="1381"/>
      <c r="R86" s="1382"/>
      <c r="S86" s="1392" t="str">
        <f>IFERROR(VLOOKUP(K86,【参考】数式用!$A$5:$AB$27,MATCH(P86,【参考】数式用!$B$4:$AB$4,0)+1,0),"")</f>
        <v/>
      </c>
      <c r="T86" s="1413" t="s">
        <v>2173</v>
      </c>
      <c r="U86" s="1415"/>
      <c r="V86" s="1457" t="str">
        <f>IFERROR(VLOOKUP(K86,【参考】数式用!$A$5:$AB$27,MATCH(U86,【参考】数式用!$B$4:$AB$4,0)+1,0),"")</f>
        <v/>
      </c>
      <c r="W86" s="1350" t="s">
        <v>19</v>
      </c>
      <c r="X86" s="1352">
        <v>6</v>
      </c>
      <c r="Y86" s="1354" t="s">
        <v>10</v>
      </c>
      <c r="Z86" s="1352">
        <v>6</v>
      </c>
      <c r="AA86" s="1354" t="s">
        <v>45</v>
      </c>
      <c r="AB86" s="1352">
        <v>7</v>
      </c>
      <c r="AC86" s="1354" t="s">
        <v>10</v>
      </c>
      <c r="AD86" s="1352">
        <v>3</v>
      </c>
      <c r="AE86" s="1354" t="s">
        <v>13</v>
      </c>
      <c r="AF86" s="1354" t="s">
        <v>24</v>
      </c>
      <c r="AG86" s="1354">
        <f>IF(X86&gt;=1,(AB86*12+AD86)-(X86*12+Z86)+1,"")</f>
        <v>10</v>
      </c>
      <c r="AH86" s="1360" t="s">
        <v>38</v>
      </c>
      <c r="AI86" s="1481" t="str">
        <f>IFERROR(ROUNDDOWN(ROUND(L86*V86,0)*M86,0)*AG86,"")</f>
        <v/>
      </c>
      <c r="AJ86" s="1483" t="str">
        <f>IFERROR(ROUNDDOWN(ROUND((L86*(V86-AX86)),0)*M86,0)*AG86,"")</f>
        <v/>
      </c>
      <c r="AK86" s="1485">
        <f>IFERROR(IF(OR(N86="",N87="",N89=""),0,ROUNDDOWN(ROUNDDOWN(ROUND(L86*VLOOKUP(K86,【参考】数式用!$A$5:$AB$27,MATCH("新加算Ⅳ",【参考】数式用!$B$4:$AB$4,0)+1,0),0)*M86,0)*AG86*0.5,0)),"")</f>
        <v>0</v>
      </c>
      <c r="AL86" s="1433"/>
      <c r="AM86" s="1487">
        <f>IFERROR(IF(OR(N89="ベア加算",N89=""),0, IF(OR(U86="新加算Ⅰ",U86="新加算Ⅱ",U86="新加算Ⅲ",U86="新加算Ⅳ"),ROUNDDOWN(ROUND(L86*VLOOKUP(K86,【参考】数式用!$A$5:$I$27,MATCH("ベア加算",【参考】数式用!$B$4:$I$4,0)+1,0),0)*M86,0)*AG86,0)),"")</f>
        <v>0</v>
      </c>
      <c r="AN86" s="1502"/>
      <c r="AO86" s="1364"/>
      <c r="AP86" s="1403"/>
      <c r="AQ86" s="1403"/>
      <c r="AR86" s="1489"/>
      <c r="AS86" s="1491"/>
      <c r="AT86" s="556" t="str">
        <f t="shared" si="67"/>
        <v/>
      </c>
      <c r="AU86" s="651"/>
      <c r="AV86" s="1493" t="str">
        <f>IF(K86&lt;&gt;"","V列に色付け","")</f>
        <v/>
      </c>
      <c r="AW86" s="652" t="str">
        <f>IF('別紙様式2-2（４・５月分）'!O68="","",'別紙様式2-2（４・５月分）'!O68)</f>
        <v/>
      </c>
      <c r="AX86" s="1507" t="str">
        <f>IF(SUM('別紙様式2-2（４・５月分）'!P68:P70)=0,"",SUM('別紙様式2-2（４・５月分）'!P68:P70))</f>
        <v/>
      </c>
      <c r="AY86" s="1506" t="str">
        <f>IFERROR(VLOOKUP(K86,【参考】数式用!$AJ$2:$AK$24,2,FALSE),"")</f>
        <v/>
      </c>
      <c r="AZ86" s="1321" t="s">
        <v>2098</v>
      </c>
      <c r="BA86" s="1321" t="s">
        <v>2099</v>
      </c>
      <c r="BB86" s="1321" t="s">
        <v>2100</v>
      </c>
      <c r="BC86" s="1321" t="s">
        <v>2101</v>
      </c>
      <c r="BD86" s="1321" t="str">
        <f>IF(AND(P86&lt;&gt;"新加算Ⅰ",P86&lt;&gt;"新加算Ⅱ",P86&lt;&gt;"新加算Ⅲ",P86&lt;&gt;"新加算Ⅳ"),P86,IF(Q88&lt;&gt;"",Q88,""))</f>
        <v/>
      </c>
      <c r="BE86" s="1321"/>
      <c r="BF86" s="1321" t="str">
        <f t="shared" ref="BF86" si="73">IF(AM86&lt;&gt;0,IF(AN86="○","入力済","未入力"),"")</f>
        <v/>
      </c>
      <c r="BG86" s="1321"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321" t="str">
        <f>IF(OR(U86="新加算Ⅴ（７）",U86="新加算Ⅴ（９）",U86="新加算Ⅴ（10）",U86="新加算Ⅴ（12）",U86="新加算Ⅴ（13）",U86="新加算Ⅴ（14）"),IF(OR(AP86="○",AP86="令和６年度中に満たす"),"入力済","未入力"),"")</f>
        <v/>
      </c>
      <c r="BI86" s="1321" t="str">
        <f>IF(OR(U86="新加算Ⅰ",U86="新加算Ⅱ",U86="新加算Ⅲ",U86="新加算Ⅴ（１）",U86="新加算Ⅴ（３）",U86="新加算Ⅴ（８）"),IF(OR(AQ86="○",AQ86="令和６年度中に満たす"),"入力済","未入力"),"")</f>
        <v/>
      </c>
      <c r="BJ86" s="1512"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493" t="str">
        <f>IF(OR(U86="新加算Ⅰ",U86="新加算Ⅴ（１）",U86="新加算Ⅴ（２）",U86="新加算Ⅴ（５）",U86="新加算Ⅴ（７）",U86="新加算Ⅴ（10）"),IF(AS86="","未入力","入力済"),"")</f>
        <v/>
      </c>
      <c r="BL86" s="543" t="str">
        <f>G86</f>
        <v/>
      </c>
    </row>
    <row r="87" spans="1:64" ht="15" customHeight="1">
      <c r="A87" s="1226"/>
      <c r="B87" s="1272"/>
      <c r="C87" s="1261"/>
      <c r="D87" s="1261"/>
      <c r="E87" s="1261"/>
      <c r="F87" s="1262"/>
      <c r="G87" s="1266"/>
      <c r="H87" s="1266"/>
      <c r="I87" s="1266"/>
      <c r="J87" s="1372"/>
      <c r="K87" s="1266"/>
      <c r="L87" s="1247"/>
      <c r="M87" s="1250"/>
      <c r="N87" s="1370" t="str">
        <f>IF('別紙様式2-2（４・５月分）'!Q69="","",'別紙様式2-2（４・５月分）'!Q69)</f>
        <v/>
      </c>
      <c r="O87" s="1367"/>
      <c r="P87" s="1383"/>
      <c r="Q87" s="1384"/>
      <c r="R87" s="1385"/>
      <c r="S87" s="1393"/>
      <c r="T87" s="1414"/>
      <c r="U87" s="1416"/>
      <c r="V87" s="1458"/>
      <c r="W87" s="1351"/>
      <c r="X87" s="1353"/>
      <c r="Y87" s="1355"/>
      <c r="Z87" s="1353"/>
      <c r="AA87" s="1355"/>
      <c r="AB87" s="1353"/>
      <c r="AC87" s="1355"/>
      <c r="AD87" s="1353"/>
      <c r="AE87" s="1355"/>
      <c r="AF87" s="1355"/>
      <c r="AG87" s="1355"/>
      <c r="AH87" s="1361"/>
      <c r="AI87" s="1482"/>
      <c r="AJ87" s="1484"/>
      <c r="AK87" s="1486"/>
      <c r="AL87" s="1434"/>
      <c r="AM87" s="1488"/>
      <c r="AN87" s="1503"/>
      <c r="AO87" s="1365"/>
      <c r="AP87" s="1404"/>
      <c r="AQ87" s="1404"/>
      <c r="AR87" s="1490"/>
      <c r="AS87" s="1492"/>
      <c r="AT87" s="1331" t="str">
        <f t="shared" si="69"/>
        <v/>
      </c>
      <c r="AU87" s="651"/>
      <c r="AV87" s="1493"/>
      <c r="AW87" s="1518" t="str">
        <f>IF('別紙様式2-2（４・５月分）'!O69="","",'別紙様式2-2（４・５月分）'!O69)</f>
        <v/>
      </c>
      <c r="AX87" s="1507"/>
      <c r="AY87" s="1506"/>
      <c r="AZ87" s="1321"/>
      <c r="BA87" s="1321"/>
      <c r="BB87" s="1321"/>
      <c r="BC87" s="1321"/>
      <c r="BD87" s="1321"/>
      <c r="BE87" s="1321"/>
      <c r="BF87" s="1321"/>
      <c r="BG87" s="1321"/>
      <c r="BH87" s="1321"/>
      <c r="BI87" s="1321"/>
      <c r="BJ87" s="1512"/>
      <c r="BK87" s="1493"/>
      <c r="BL87" s="543" t="str">
        <f>G86</f>
        <v/>
      </c>
    </row>
    <row r="88" spans="1:64" ht="15" customHeight="1">
      <c r="A88" s="1240"/>
      <c r="B88" s="1272"/>
      <c r="C88" s="1261"/>
      <c r="D88" s="1261"/>
      <c r="E88" s="1261"/>
      <c r="F88" s="1262"/>
      <c r="G88" s="1266"/>
      <c r="H88" s="1266"/>
      <c r="I88" s="1266"/>
      <c r="J88" s="1372"/>
      <c r="K88" s="1266"/>
      <c r="L88" s="1247"/>
      <c r="M88" s="1250"/>
      <c r="N88" s="1371"/>
      <c r="O88" s="1368"/>
      <c r="P88" s="1390" t="s">
        <v>2179</v>
      </c>
      <c r="Q88" s="1386" t="str">
        <f>IFERROR(VLOOKUP('別紙様式2-2（４・５月分）'!AR68,【参考】数式用!$AT$5:$AV$22,3,FALSE),"")</f>
        <v/>
      </c>
      <c r="R88" s="1388" t="s">
        <v>2190</v>
      </c>
      <c r="S88" s="1396" t="str">
        <f>IFERROR(VLOOKUP(K86,【参考】数式用!$A$5:$AB$27,MATCH(Q88,【参考】数式用!$B$4:$AB$4,0)+1,0),"")</f>
        <v/>
      </c>
      <c r="T88" s="1459" t="s">
        <v>217</v>
      </c>
      <c r="U88" s="1461"/>
      <c r="V88" s="1463" t="str">
        <f>IFERROR(VLOOKUP(K86,【参考】数式用!$A$5:$AB$27,MATCH(U88,【参考】数式用!$B$4:$AB$4,0)+1,0),"")</f>
        <v/>
      </c>
      <c r="W88" s="1465" t="s">
        <v>19</v>
      </c>
      <c r="X88" s="1508">
        <v>7</v>
      </c>
      <c r="Y88" s="1407" t="s">
        <v>10</v>
      </c>
      <c r="Z88" s="1508">
        <v>4</v>
      </c>
      <c r="AA88" s="1407" t="s">
        <v>45</v>
      </c>
      <c r="AB88" s="1508">
        <v>8</v>
      </c>
      <c r="AC88" s="1407" t="s">
        <v>10</v>
      </c>
      <c r="AD88" s="1508">
        <v>3</v>
      </c>
      <c r="AE88" s="1407" t="s">
        <v>13</v>
      </c>
      <c r="AF88" s="1407" t="s">
        <v>24</v>
      </c>
      <c r="AG88" s="1407">
        <f>IF(X88&gt;=1,(AB88*12+AD88)-(X88*12+Z88)+1,"")</f>
        <v>12</v>
      </c>
      <c r="AH88" s="1409" t="s">
        <v>38</v>
      </c>
      <c r="AI88" s="1496" t="str">
        <f>IFERROR(ROUNDDOWN(ROUND(L86*V88,0)*M86,0)*AG88,"")</f>
        <v/>
      </c>
      <c r="AJ88" s="1510" t="str">
        <f>IFERROR(ROUNDDOWN(ROUND((L86*(V88-AX86)),0)*M86,0)*AG88,"")</f>
        <v/>
      </c>
      <c r="AK88" s="1494">
        <f>IFERROR(IF(OR(N86="",N87="",N89=""),0,ROUNDDOWN(ROUNDDOWN(ROUND(L86*VLOOKUP(K86,【参考】数式用!$A$5:$AB$27,MATCH("新加算Ⅳ",【参考】数式用!$B$4:$AB$4,0)+1,0),0)*M86,0)*AG88*0.5,0)),"")</f>
        <v>0</v>
      </c>
      <c r="AL88" s="1435" t="str">
        <f t="shared" ref="AL88" si="74">IF(U88&lt;&gt;"","新規に適用","")</f>
        <v/>
      </c>
      <c r="AM88" s="1498">
        <f>IFERROR(IF(OR(N89="ベア加算",N89=""),0, IF(OR(U86="新加算Ⅰ",U86="新加算Ⅱ",U86="新加算Ⅲ",U86="新加算Ⅳ"),0,ROUNDDOWN(ROUND(L86*VLOOKUP(K86,【参考】数式用!$A$5:$I$27,MATCH("ベア加算",【参考】数式用!$B$4:$I$4,0)+1,0),0)*M86,0)*AG88)),"")</f>
        <v>0</v>
      </c>
      <c r="AN88" s="1356" t="str">
        <f t="shared" ref="AN88" si="75">IF(AM88=0,"",IF(AND(U88&lt;&gt;"",AN86=""),"新規に適用",IF(AND(U88&lt;&gt;"",AN86&lt;&gt;""),"継続で適用","")))</f>
        <v/>
      </c>
      <c r="AO88" s="1356" t="str">
        <f>IF(AND(U88&lt;&gt;"",AO86=""),"新規に適用",IF(AND(U88&lt;&gt;"",AO86&lt;&gt;""),"継続で適用",""))</f>
        <v/>
      </c>
      <c r="AP88" s="1358"/>
      <c r="AQ88" s="1356" t="str">
        <f>IF(AND(U88&lt;&gt;"",AQ86=""),"新規に適用",IF(AND(U88&lt;&gt;"",AQ86&lt;&gt;""),"継続で適用",""))</f>
        <v/>
      </c>
      <c r="AR88" s="1344" t="str">
        <f t="shared" si="25"/>
        <v/>
      </c>
      <c r="AS88" s="1356" t="str">
        <f>IF(AND(U88&lt;&gt;"",AS86=""),"新規に適用",IF(AND(U88&lt;&gt;"",AS86&lt;&gt;""),"継続で適用",""))</f>
        <v/>
      </c>
      <c r="AT88" s="1331"/>
      <c r="AU88" s="651"/>
      <c r="AV88" s="1493" t="str">
        <f>IF(K86&lt;&gt;"","V列に色付け","")</f>
        <v/>
      </c>
      <c r="AW88" s="1518"/>
      <c r="AX88" s="1507"/>
      <c r="AY88" s="163"/>
      <c r="AZ88" s="163"/>
      <c r="BA88" s="163"/>
      <c r="BB88" s="163"/>
      <c r="BC88" s="163"/>
      <c r="BD88" s="163"/>
      <c r="BE88" s="163"/>
      <c r="BF88" s="163"/>
      <c r="BG88" s="163"/>
      <c r="BH88" s="163"/>
      <c r="BI88" s="163"/>
      <c r="BJ88" s="163"/>
      <c r="BK88" s="163"/>
      <c r="BL88" s="543" t="str">
        <f>G86</f>
        <v/>
      </c>
    </row>
    <row r="89" spans="1:64" ht="30" customHeight="1" thickBot="1">
      <c r="A89" s="1227"/>
      <c r="B89" s="1376"/>
      <c r="C89" s="1377"/>
      <c r="D89" s="1377"/>
      <c r="E89" s="1377"/>
      <c r="F89" s="1378"/>
      <c r="G89" s="1267"/>
      <c r="H89" s="1267"/>
      <c r="I89" s="1267"/>
      <c r="J89" s="1373"/>
      <c r="K89" s="1267"/>
      <c r="L89" s="1248"/>
      <c r="M89" s="1251"/>
      <c r="N89" s="650" t="str">
        <f>IF('別紙様式2-2（４・５月分）'!Q70="","",'別紙様式2-2（４・５月分）'!Q70)</f>
        <v/>
      </c>
      <c r="O89" s="1369"/>
      <c r="P89" s="1391"/>
      <c r="Q89" s="1387"/>
      <c r="R89" s="1389"/>
      <c r="S89" s="1395"/>
      <c r="T89" s="1460"/>
      <c r="U89" s="1462"/>
      <c r="V89" s="1464"/>
      <c r="W89" s="1466"/>
      <c r="X89" s="1509"/>
      <c r="Y89" s="1408"/>
      <c r="Z89" s="1509"/>
      <c r="AA89" s="1408"/>
      <c r="AB89" s="1509"/>
      <c r="AC89" s="1408"/>
      <c r="AD89" s="1509"/>
      <c r="AE89" s="1408"/>
      <c r="AF89" s="1408"/>
      <c r="AG89" s="1408"/>
      <c r="AH89" s="1410"/>
      <c r="AI89" s="1497"/>
      <c r="AJ89" s="1511"/>
      <c r="AK89" s="1495"/>
      <c r="AL89" s="1436"/>
      <c r="AM89" s="1499"/>
      <c r="AN89" s="1357"/>
      <c r="AO89" s="1357"/>
      <c r="AP89" s="1359"/>
      <c r="AQ89" s="1357"/>
      <c r="AR89" s="1345"/>
      <c r="AS89" s="1357"/>
      <c r="AT89" s="581" t="str">
        <f t="shared" ref="AT89" si="76">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51"/>
      <c r="AV89" s="1493"/>
      <c r="AW89" s="652" t="str">
        <f>IF('別紙様式2-2（４・５月分）'!O70="","",'別紙様式2-2（４・５月分）'!O70)</f>
        <v/>
      </c>
      <c r="AX89" s="1507"/>
      <c r="AY89" s="163"/>
      <c r="AZ89" s="163"/>
      <c r="BA89" s="163"/>
      <c r="BB89" s="163"/>
      <c r="BC89" s="163"/>
      <c r="BD89" s="163"/>
      <c r="BE89" s="163"/>
      <c r="BF89" s="163"/>
      <c r="BG89" s="163"/>
      <c r="BH89" s="163"/>
      <c r="BI89" s="163"/>
      <c r="BJ89" s="163"/>
      <c r="BK89" s="163"/>
      <c r="BL89" s="543" t="str">
        <f>G86</f>
        <v/>
      </c>
    </row>
    <row r="90" spans="1:64" ht="30" customHeight="1">
      <c r="A90" s="1241">
        <v>20</v>
      </c>
      <c r="B90" s="1272" t="str">
        <f>IF(基本情報入力シート!C73="","",基本情報入力シート!C73)</f>
        <v/>
      </c>
      <c r="C90" s="1261"/>
      <c r="D90" s="1261"/>
      <c r="E90" s="1261"/>
      <c r="F90" s="1262"/>
      <c r="G90" s="1266" t="str">
        <f>IF(基本情報入力シート!M73="","",基本情報入力シート!M73)</f>
        <v/>
      </c>
      <c r="H90" s="1266" t="str">
        <f>IF(基本情報入力シート!R73="","",基本情報入力シート!R73)</f>
        <v/>
      </c>
      <c r="I90" s="1266" t="str">
        <f>IF(基本情報入力シート!W73="","",基本情報入力シート!W73)</f>
        <v/>
      </c>
      <c r="J90" s="1372" t="str">
        <f>IF(基本情報入力シート!X73="","",基本情報入力シート!X73)</f>
        <v/>
      </c>
      <c r="K90" s="1266" t="str">
        <f>IF(基本情報入力シート!Y73="","",基本情報入力シート!Y73)</f>
        <v/>
      </c>
      <c r="L90" s="1247" t="str">
        <f>IF(基本情報入力シート!AB73="","",基本情報入力シート!AB73)</f>
        <v/>
      </c>
      <c r="M90" s="1374" t="str">
        <f>IF(基本情報入力シート!AC73="","",基本情報入力シート!AC73)</f>
        <v/>
      </c>
      <c r="N90" s="647" t="str">
        <f>IF('別紙様式2-2（４・５月分）'!Q71="","",'別紙様式2-2（４・５月分）'!Q71)</f>
        <v/>
      </c>
      <c r="O90" s="1366" t="str">
        <f>IF(SUM('別紙様式2-2（４・５月分）'!R71:R73)=0,"",SUM('別紙様式2-2（４・５月分）'!R71:R73))</f>
        <v/>
      </c>
      <c r="P90" s="1380" t="str">
        <f>IFERROR(VLOOKUP('別紙様式2-2（４・５月分）'!AR71,【参考】数式用!$AT$5:$AU$22,2,FALSE),"")</f>
        <v/>
      </c>
      <c r="Q90" s="1381"/>
      <c r="R90" s="1382"/>
      <c r="S90" s="1392" t="str">
        <f>IFERROR(VLOOKUP(K90,【参考】数式用!$A$5:$AB$27,MATCH(P90,【参考】数式用!$B$4:$AB$4,0)+1,0),"")</f>
        <v/>
      </c>
      <c r="T90" s="1413" t="s">
        <v>2173</v>
      </c>
      <c r="U90" s="1415"/>
      <c r="V90" s="1457" t="str">
        <f>IFERROR(VLOOKUP(K90,【参考】数式用!$A$5:$AB$27,MATCH(U90,【参考】数式用!$B$4:$AB$4,0)+1,0),"")</f>
        <v/>
      </c>
      <c r="W90" s="1350" t="s">
        <v>19</v>
      </c>
      <c r="X90" s="1352">
        <v>6</v>
      </c>
      <c r="Y90" s="1354" t="s">
        <v>10</v>
      </c>
      <c r="Z90" s="1352">
        <v>6</v>
      </c>
      <c r="AA90" s="1354" t="s">
        <v>45</v>
      </c>
      <c r="AB90" s="1352">
        <v>7</v>
      </c>
      <c r="AC90" s="1354" t="s">
        <v>10</v>
      </c>
      <c r="AD90" s="1352">
        <v>3</v>
      </c>
      <c r="AE90" s="1354" t="s">
        <v>13</v>
      </c>
      <c r="AF90" s="1354" t="s">
        <v>24</v>
      </c>
      <c r="AG90" s="1354">
        <f>IF(X90&gt;=1,(AB90*12+AD90)-(X90*12+Z90)+1,"")</f>
        <v>10</v>
      </c>
      <c r="AH90" s="1360" t="s">
        <v>38</v>
      </c>
      <c r="AI90" s="1481" t="str">
        <f>IFERROR(ROUNDDOWN(ROUND(L90*V90,0)*M90,0)*AG90,"")</f>
        <v/>
      </c>
      <c r="AJ90" s="1483" t="str">
        <f>IFERROR(ROUNDDOWN(ROUND((L90*(V90-AX90)),0)*M90,0)*AG90,"")</f>
        <v/>
      </c>
      <c r="AK90" s="1485">
        <f>IFERROR(IF(OR(N90="",N91="",N93=""),0,ROUNDDOWN(ROUNDDOWN(ROUND(L90*VLOOKUP(K90,【参考】数式用!$A$5:$AB$27,MATCH("新加算Ⅳ",【参考】数式用!$B$4:$AB$4,0)+1,0),0)*M90,0)*AG90*0.5,0)),"")</f>
        <v>0</v>
      </c>
      <c r="AL90" s="1433"/>
      <c r="AM90" s="1487">
        <f>IFERROR(IF(OR(N93="ベア加算",N93=""),0, IF(OR(U90="新加算Ⅰ",U90="新加算Ⅱ",U90="新加算Ⅲ",U90="新加算Ⅳ"),ROUNDDOWN(ROUND(L90*VLOOKUP(K90,【参考】数式用!$A$5:$I$27,MATCH("ベア加算",【参考】数式用!$B$4:$I$4,0)+1,0),0)*M90,0)*AG90,0)),"")</f>
        <v>0</v>
      </c>
      <c r="AN90" s="1502"/>
      <c r="AO90" s="1364"/>
      <c r="AP90" s="1403"/>
      <c r="AQ90" s="1403"/>
      <c r="AR90" s="1489"/>
      <c r="AS90" s="1491"/>
      <c r="AT90" s="556" t="str">
        <f t="shared" si="67"/>
        <v/>
      </c>
      <c r="AU90" s="651"/>
      <c r="AV90" s="1493" t="str">
        <f>IF(K90&lt;&gt;"","V列に色付け","")</f>
        <v/>
      </c>
      <c r="AW90" s="652" t="str">
        <f>IF('別紙様式2-2（４・５月分）'!O71="","",'別紙様式2-2（４・５月分）'!O71)</f>
        <v/>
      </c>
      <c r="AX90" s="1507" t="str">
        <f>IF(SUM('別紙様式2-2（４・５月分）'!P71:P73)=0,"",SUM('別紙様式2-2（４・５月分）'!P71:P73))</f>
        <v/>
      </c>
      <c r="AY90" s="1506" t="str">
        <f>IFERROR(VLOOKUP(K90,【参考】数式用!$AJ$2:$AK$24,2,FALSE),"")</f>
        <v/>
      </c>
      <c r="AZ90" s="1321" t="s">
        <v>2098</v>
      </c>
      <c r="BA90" s="1321" t="s">
        <v>2099</v>
      </c>
      <c r="BB90" s="1321" t="s">
        <v>2100</v>
      </c>
      <c r="BC90" s="1321" t="s">
        <v>2101</v>
      </c>
      <c r="BD90" s="1321" t="str">
        <f>IF(AND(P90&lt;&gt;"新加算Ⅰ",P90&lt;&gt;"新加算Ⅱ",P90&lt;&gt;"新加算Ⅲ",P90&lt;&gt;"新加算Ⅳ"),P90,IF(Q92&lt;&gt;"",Q92,""))</f>
        <v/>
      </c>
      <c r="BE90" s="1321"/>
      <c r="BF90" s="1321" t="str">
        <f t="shared" ref="BF90" si="77">IF(AM90&lt;&gt;0,IF(AN90="○","入力済","未入力"),"")</f>
        <v/>
      </c>
      <c r="BG90" s="1321"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321" t="str">
        <f>IF(OR(U90="新加算Ⅴ（７）",U90="新加算Ⅴ（９）",U90="新加算Ⅴ（10）",U90="新加算Ⅴ（12）",U90="新加算Ⅴ（13）",U90="新加算Ⅴ（14）"),IF(OR(AP90="○",AP90="令和６年度中に満たす"),"入力済","未入力"),"")</f>
        <v/>
      </c>
      <c r="BI90" s="1321" t="str">
        <f>IF(OR(U90="新加算Ⅰ",U90="新加算Ⅱ",U90="新加算Ⅲ",U90="新加算Ⅴ（１）",U90="新加算Ⅴ（３）",U90="新加算Ⅴ（８）"),IF(OR(AQ90="○",AQ90="令和６年度中に満たす"),"入力済","未入力"),"")</f>
        <v/>
      </c>
      <c r="BJ90" s="1512"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493" t="str">
        <f>IF(OR(U90="新加算Ⅰ",U90="新加算Ⅴ（１）",U90="新加算Ⅴ（２）",U90="新加算Ⅴ（５）",U90="新加算Ⅴ（７）",U90="新加算Ⅴ（10）"),IF(AS90="","未入力","入力済"),"")</f>
        <v/>
      </c>
      <c r="BL90" s="543" t="str">
        <f>G90</f>
        <v/>
      </c>
    </row>
    <row r="91" spans="1:64" ht="15" customHeight="1">
      <c r="A91" s="1226"/>
      <c r="B91" s="1272"/>
      <c r="C91" s="1261"/>
      <c r="D91" s="1261"/>
      <c r="E91" s="1261"/>
      <c r="F91" s="1262"/>
      <c r="G91" s="1266"/>
      <c r="H91" s="1266"/>
      <c r="I91" s="1266"/>
      <c r="J91" s="1372"/>
      <c r="K91" s="1266"/>
      <c r="L91" s="1247"/>
      <c r="M91" s="1374"/>
      <c r="N91" s="1370" t="str">
        <f>IF('別紙様式2-2（４・５月分）'!Q72="","",'別紙様式2-2（４・５月分）'!Q72)</f>
        <v/>
      </c>
      <c r="O91" s="1367"/>
      <c r="P91" s="1383"/>
      <c r="Q91" s="1384"/>
      <c r="R91" s="1385"/>
      <c r="S91" s="1393"/>
      <c r="T91" s="1414"/>
      <c r="U91" s="1416"/>
      <c r="V91" s="1458"/>
      <c r="W91" s="1351"/>
      <c r="X91" s="1353"/>
      <c r="Y91" s="1355"/>
      <c r="Z91" s="1353"/>
      <c r="AA91" s="1355"/>
      <c r="AB91" s="1353"/>
      <c r="AC91" s="1355"/>
      <c r="AD91" s="1353"/>
      <c r="AE91" s="1355"/>
      <c r="AF91" s="1355"/>
      <c r="AG91" s="1355"/>
      <c r="AH91" s="1361"/>
      <c r="AI91" s="1482"/>
      <c r="AJ91" s="1484"/>
      <c r="AK91" s="1486"/>
      <c r="AL91" s="1434"/>
      <c r="AM91" s="1488"/>
      <c r="AN91" s="1503"/>
      <c r="AO91" s="1365"/>
      <c r="AP91" s="1404"/>
      <c r="AQ91" s="1404"/>
      <c r="AR91" s="1490"/>
      <c r="AS91" s="1492"/>
      <c r="AT91" s="1331" t="str">
        <f t="shared" si="69"/>
        <v/>
      </c>
      <c r="AU91" s="651"/>
      <c r="AV91" s="1493"/>
      <c r="AW91" s="1518" t="str">
        <f>IF('別紙様式2-2（４・５月分）'!O72="","",'別紙様式2-2（４・５月分）'!O72)</f>
        <v/>
      </c>
      <c r="AX91" s="1507"/>
      <c r="AY91" s="1506"/>
      <c r="AZ91" s="1321"/>
      <c r="BA91" s="1321"/>
      <c r="BB91" s="1321"/>
      <c r="BC91" s="1321"/>
      <c r="BD91" s="1321"/>
      <c r="BE91" s="1321"/>
      <c r="BF91" s="1321"/>
      <c r="BG91" s="1321"/>
      <c r="BH91" s="1321"/>
      <c r="BI91" s="1321"/>
      <c r="BJ91" s="1512"/>
      <c r="BK91" s="1493"/>
      <c r="BL91" s="543" t="str">
        <f>G90</f>
        <v/>
      </c>
    </row>
    <row r="92" spans="1:64" ht="15" customHeight="1">
      <c r="A92" s="1240"/>
      <c r="B92" s="1272"/>
      <c r="C92" s="1261"/>
      <c r="D92" s="1261"/>
      <c r="E92" s="1261"/>
      <c r="F92" s="1262"/>
      <c r="G92" s="1266"/>
      <c r="H92" s="1266"/>
      <c r="I92" s="1266"/>
      <c r="J92" s="1372"/>
      <c r="K92" s="1266"/>
      <c r="L92" s="1247"/>
      <c r="M92" s="1374"/>
      <c r="N92" s="1371"/>
      <c r="O92" s="1368"/>
      <c r="P92" s="1390" t="s">
        <v>2179</v>
      </c>
      <c r="Q92" s="1386" t="str">
        <f>IFERROR(VLOOKUP('別紙様式2-2（４・５月分）'!AR71,【参考】数式用!$AT$5:$AV$22,3,FALSE),"")</f>
        <v/>
      </c>
      <c r="R92" s="1388" t="s">
        <v>2190</v>
      </c>
      <c r="S92" s="1394" t="str">
        <f>IFERROR(VLOOKUP(K90,【参考】数式用!$A$5:$AB$27,MATCH(Q92,【参考】数式用!$B$4:$AB$4,0)+1,0),"")</f>
        <v/>
      </c>
      <c r="T92" s="1459" t="s">
        <v>217</v>
      </c>
      <c r="U92" s="1461"/>
      <c r="V92" s="1463" t="str">
        <f>IFERROR(VLOOKUP(K90,【参考】数式用!$A$5:$AB$27,MATCH(U92,【参考】数式用!$B$4:$AB$4,0)+1,0),"")</f>
        <v/>
      </c>
      <c r="W92" s="1465" t="s">
        <v>19</v>
      </c>
      <c r="X92" s="1508">
        <v>7</v>
      </c>
      <c r="Y92" s="1407" t="s">
        <v>10</v>
      </c>
      <c r="Z92" s="1508">
        <v>4</v>
      </c>
      <c r="AA92" s="1407" t="s">
        <v>45</v>
      </c>
      <c r="AB92" s="1508">
        <v>8</v>
      </c>
      <c r="AC92" s="1407" t="s">
        <v>10</v>
      </c>
      <c r="AD92" s="1508">
        <v>3</v>
      </c>
      <c r="AE92" s="1407" t="s">
        <v>13</v>
      </c>
      <c r="AF92" s="1407" t="s">
        <v>24</v>
      </c>
      <c r="AG92" s="1407">
        <f>IF(X92&gt;=1,(AB92*12+AD92)-(X92*12+Z92)+1,"")</f>
        <v>12</v>
      </c>
      <c r="AH92" s="1409" t="s">
        <v>38</v>
      </c>
      <c r="AI92" s="1496" t="str">
        <f>IFERROR(ROUNDDOWN(ROUND(L90*V92,0)*M90,0)*AG92,"")</f>
        <v/>
      </c>
      <c r="AJ92" s="1510" t="str">
        <f>IFERROR(ROUNDDOWN(ROUND((L90*(V92-AX90)),0)*M90,0)*AG92,"")</f>
        <v/>
      </c>
      <c r="AK92" s="1494">
        <f>IFERROR(IF(OR(N90="",N91="",N93=""),0,ROUNDDOWN(ROUNDDOWN(ROUND(L90*VLOOKUP(K90,【参考】数式用!$A$5:$AB$27,MATCH("新加算Ⅳ",【参考】数式用!$B$4:$AB$4,0)+1,0),0)*M90,0)*AG92*0.5,0)),"")</f>
        <v>0</v>
      </c>
      <c r="AL92" s="1435" t="str">
        <f t="shared" ref="AL92" si="78">IF(U92&lt;&gt;"","新規に適用","")</f>
        <v/>
      </c>
      <c r="AM92" s="1498">
        <f>IFERROR(IF(OR(N93="ベア加算",N93=""),0, IF(OR(U90="新加算Ⅰ",U90="新加算Ⅱ",U90="新加算Ⅲ",U90="新加算Ⅳ"),0,ROUNDDOWN(ROUND(L90*VLOOKUP(K90,【参考】数式用!$A$5:$I$27,MATCH("ベア加算",【参考】数式用!$B$4:$I$4,0)+1,0),0)*M90,0)*AG92)),"")</f>
        <v>0</v>
      </c>
      <c r="AN92" s="1356" t="str">
        <f t="shared" ref="AN92" si="79">IF(AM92=0,"",IF(AND(U92&lt;&gt;"",AN90=""),"新規に適用",IF(AND(U92&lt;&gt;"",AN90&lt;&gt;""),"継続で適用","")))</f>
        <v/>
      </c>
      <c r="AO92" s="1356" t="str">
        <f>IF(AND(U92&lt;&gt;"",AO90=""),"新規に適用",IF(AND(U92&lt;&gt;"",AO90&lt;&gt;""),"継続で適用",""))</f>
        <v/>
      </c>
      <c r="AP92" s="1358"/>
      <c r="AQ92" s="1356" t="str">
        <f>IF(AND(U92&lt;&gt;"",AQ90=""),"新規に適用",IF(AND(U92&lt;&gt;"",AQ90&lt;&gt;""),"継続で適用",""))</f>
        <v/>
      </c>
      <c r="AR92" s="1344" t="str">
        <f t="shared" si="25"/>
        <v/>
      </c>
      <c r="AS92" s="1356" t="str">
        <f>IF(AND(U92&lt;&gt;"",AS90=""),"新規に適用",IF(AND(U92&lt;&gt;"",AS90&lt;&gt;""),"継続で適用",""))</f>
        <v/>
      </c>
      <c r="AT92" s="1331"/>
      <c r="AU92" s="651"/>
      <c r="AV92" s="1493" t="str">
        <f>IF(K90&lt;&gt;"","V列に色付け","")</f>
        <v/>
      </c>
      <c r="AW92" s="1518"/>
      <c r="AX92" s="1507"/>
      <c r="AY92" s="163"/>
      <c r="AZ92" s="163"/>
      <c r="BA92" s="163"/>
      <c r="BB92" s="163"/>
      <c r="BC92" s="163"/>
      <c r="BD92" s="163"/>
      <c r="BE92" s="163"/>
      <c r="BF92" s="163"/>
      <c r="BG92" s="163"/>
      <c r="BH92" s="163"/>
      <c r="BI92" s="163"/>
      <c r="BJ92" s="163"/>
      <c r="BK92" s="163"/>
      <c r="BL92" s="543" t="str">
        <f>G90</f>
        <v/>
      </c>
    </row>
    <row r="93" spans="1:64" ht="30" customHeight="1" thickBot="1">
      <c r="A93" s="1227"/>
      <c r="B93" s="1376"/>
      <c r="C93" s="1377"/>
      <c r="D93" s="1377"/>
      <c r="E93" s="1377"/>
      <c r="F93" s="1378"/>
      <c r="G93" s="1267"/>
      <c r="H93" s="1267"/>
      <c r="I93" s="1267"/>
      <c r="J93" s="1373"/>
      <c r="K93" s="1267"/>
      <c r="L93" s="1248"/>
      <c r="M93" s="1375"/>
      <c r="N93" s="650" t="str">
        <f>IF('別紙様式2-2（４・５月分）'!Q73="","",'別紙様式2-2（４・５月分）'!Q73)</f>
        <v/>
      </c>
      <c r="O93" s="1369"/>
      <c r="P93" s="1391"/>
      <c r="Q93" s="1387"/>
      <c r="R93" s="1389"/>
      <c r="S93" s="1395"/>
      <c r="T93" s="1460"/>
      <c r="U93" s="1462"/>
      <c r="V93" s="1464"/>
      <c r="W93" s="1466"/>
      <c r="X93" s="1509"/>
      <c r="Y93" s="1408"/>
      <c r="Z93" s="1509"/>
      <c r="AA93" s="1408"/>
      <c r="AB93" s="1509"/>
      <c r="AC93" s="1408"/>
      <c r="AD93" s="1509"/>
      <c r="AE93" s="1408"/>
      <c r="AF93" s="1408"/>
      <c r="AG93" s="1408"/>
      <c r="AH93" s="1410"/>
      <c r="AI93" s="1497"/>
      <c r="AJ93" s="1511"/>
      <c r="AK93" s="1495"/>
      <c r="AL93" s="1436"/>
      <c r="AM93" s="1499"/>
      <c r="AN93" s="1357"/>
      <c r="AO93" s="1357"/>
      <c r="AP93" s="1359"/>
      <c r="AQ93" s="1357"/>
      <c r="AR93" s="1345"/>
      <c r="AS93" s="1357"/>
      <c r="AT93" s="581" t="str">
        <f t="shared" ref="AT93" si="80">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51"/>
      <c r="AV93" s="1493"/>
      <c r="AW93" s="652" t="str">
        <f>IF('別紙様式2-2（４・５月分）'!O73="","",'別紙様式2-2（４・５月分）'!O73)</f>
        <v/>
      </c>
      <c r="AX93" s="1507"/>
      <c r="AY93" s="163"/>
      <c r="AZ93" s="163"/>
      <c r="BA93" s="163"/>
      <c r="BB93" s="163"/>
      <c r="BC93" s="163"/>
      <c r="BD93" s="163"/>
      <c r="BE93" s="163"/>
      <c r="BF93" s="163"/>
      <c r="BG93" s="163"/>
      <c r="BH93" s="163"/>
      <c r="BI93" s="163"/>
      <c r="BJ93" s="163"/>
      <c r="BK93" s="163"/>
      <c r="BL93" s="543" t="str">
        <f>G90</f>
        <v/>
      </c>
    </row>
    <row r="94" spans="1:64" ht="30" customHeight="1">
      <c r="A94" s="1225">
        <v>21</v>
      </c>
      <c r="B94" s="1271" t="str">
        <f>IF(基本情報入力シート!C74="","",基本情報入力シート!C74)</f>
        <v/>
      </c>
      <c r="C94" s="1259"/>
      <c r="D94" s="1259"/>
      <c r="E94" s="1259"/>
      <c r="F94" s="1260"/>
      <c r="G94" s="1265" t="str">
        <f>IF(基本情報入力シート!M74="","",基本情報入力シート!M74)</f>
        <v/>
      </c>
      <c r="H94" s="1265" t="str">
        <f>IF(基本情報入力シート!R74="","",基本情報入力シート!R74)</f>
        <v/>
      </c>
      <c r="I94" s="1265" t="str">
        <f>IF(基本情報入力シート!W74="","",基本情報入力シート!W74)</f>
        <v/>
      </c>
      <c r="J94" s="1379" t="str">
        <f>IF(基本情報入力シート!X74="","",基本情報入力シート!X74)</f>
        <v/>
      </c>
      <c r="K94" s="1265" t="str">
        <f>IF(基本情報入力シート!Y74="","",基本情報入力シート!Y74)</f>
        <v/>
      </c>
      <c r="L94" s="1246" t="str">
        <f>IF(基本情報入力シート!AB74="","",基本情報入力シート!AB74)</f>
        <v/>
      </c>
      <c r="M94" s="1249" t="str">
        <f>IF(基本情報入力シート!AC74="","",基本情報入力シート!AC74)</f>
        <v/>
      </c>
      <c r="N94" s="647" t="str">
        <f>IF('別紙様式2-2（４・５月分）'!Q74="","",'別紙様式2-2（４・５月分）'!Q74)</f>
        <v/>
      </c>
      <c r="O94" s="1366" t="str">
        <f>IF(SUM('別紙様式2-2（４・５月分）'!R74:R76)=0,"",SUM('別紙様式2-2（４・５月分）'!R74:R76))</f>
        <v/>
      </c>
      <c r="P94" s="1380" t="str">
        <f>IFERROR(VLOOKUP('別紙様式2-2（４・５月分）'!AR74,【参考】数式用!$AT$5:$AU$22,2,FALSE),"")</f>
        <v/>
      </c>
      <c r="Q94" s="1381"/>
      <c r="R94" s="1382"/>
      <c r="S94" s="1392" t="str">
        <f>IFERROR(VLOOKUP(K94,【参考】数式用!$A$5:$AB$27,MATCH(P94,【参考】数式用!$B$4:$AB$4,0)+1,0),"")</f>
        <v/>
      </c>
      <c r="T94" s="1413" t="s">
        <v>2173</v>
      </c>
      <c r="U94" s="1415"/>
      <c r="V94" s="1457" t="str">
        <f>IFERROR(VLOOKUP(K94,【参考】数式用!$A$5:$AB$27,MATCH(U94,【参考】数式用!$B$4:$AB$4,0)+1,0),"")</f>
        <v/>
      </c>
      <c r="W94" s="1350" t="s">
        <v>19</v>
      </c>
      <c r="X94" s="1352">
        <v>6</v>
      </c>
      <c r="Y94" s="1354" t="s">
        <v>10</v>
      </c>
      <c r="Z94" s="1352">
        <v>6</v>
      </c>
      <c r="AA94" s="1354" t="s">
        <v>45</v>
      </c>
      <c r="AB94" s="1352">
        <v>7</v>
      </c>
      <c r="AC94" s="1354" t="s">
        <v>10</v>
      </c>
      <c r="AD94" s="1352">
        <v>3</v>
      </c>
      <c r="AE94" s="1354" t="s">
        <v>13</v>
      </c>
      <c r="AF94" s="1354" t="s">
        <v>24</v>
      </c>
      <c r="AG94" s="1354">
        <f>IF(X94&gt;=1,(AB94*12+AD94)-(X94*12+Z94)+1,"")</f>
        <v>10</v>
      </c>
      <c r="AH94" s="1360" t="s">
        <v>38</v>
      </c>
      <c r="AI94" s="1481" t="str">
        <f>IFERROR(ROUNDDOWN(ROUND(L94*V94,0)*M94,0)*AG94,"")</f>
        <v/>
      </c>
      <c r="AJ94" s="1483" t="str">
        <f>IFERROR(ROUNDDOWN(ROUND((L94*(V94-AX94)),0)*M94,0)*AG94,"")</f>
        <v/>
      </c>
      <c r="AK94" s="1485">
        <f>IFERROR(IF(OR(N94="",N95="",N97=""),0,ROUNDDOWN(ROUNDDOWN(ROUND(L94*VLOOKUP(K94,【参考】数式用!$A$5:$AB$27,MATCH("新加算Ⅳ",【参考】数式用!$B$4:$AB$4,0)+1,0),0)*M94,0)*AG94*0.5,0)),"")</f>
        <v>0</v>
      </c>
      <c r="AL94" s="1433"/>
      <c r="AM94" s="1487">
        <f>IFERROR(IF(OR(N97="ベア加算",N97=""),0, IF(OR(U94="新加算Ⅰ",U94="新加算Ⅱ",U94="新加算Ⅲ",U94="新加算Ⅳ"),ROUNDDOWN(ROUND(L94*VLOOKUP(K94,【参考】数式用!$A$5:$I$27,MATCH("ベア加算",【参考】数式用!$B$4:$I$4,0)+1,0),0)*M94,0)*AG94,0)),"")</f>
        <v>0</v>
      </c>
      <c r="AN94" s="1502"/>
      <c r="AO94" s="1364"/>
      <c r="AP94" s="1403"/>
      <c r="AQ94" s="1403"/>
      <c r="AR94" s="1489"/>
      <c r="AS94" s="1491"/>
      <c r="AT94" s="556" t="str">
        <f t="shared" si="67"/>
        <v/>
      </c>
      <c r="AU94" s="651"/>
      <c r="AV94" s="1493" t="str">
        <f>IF(K94&lt;&gt;"","V列に色付け","")</f>
        <v/>
      </c>
      <c r="AW94" s="652" t="str">
        <f>IF('別紙様式2-2（４・５月分）'!O74="","",'別紙様式2-2（４・５月分）'!O74)</f>
        <v/>
      </c>
      <c r="AX94" s="1507" t="str">
        <f>IF(SUM('別紙様式2-2（４・５月分）'!P74:P76)=0,"",SUM('別紙様式2-2（４・５月分）'!P74:P76))</f>
        <v/>
      </c>
      <c r="AY94" s="1506" t="str">
        <f>IFERROR(VLOOKUP(K94,【参考】数式用!$AJ$2:$AK$24,2,FALSE),"")</f>
        <v/>
      </c>
      <c r="AZ94" s="1321" t="s">
        <v>2098</v>
      </c>
      <c r="BA94" s="1321" t="s">
        <v>2099</v>
      </c>
      <c r="BB94" s="1321" t="s">
        <v>2100</v>
      </c>
      <c r="BC94" s="1321" t="s">
        <v>2101</v>
      </c>
      <c r="BD94" s="1321" t="str">
        <f>IF(AND(P94&lt;&gt;"新加算Ⅰ",P94&lt;&gt;"新加算Ⅱ",P94&lt;&gt;"新加算Ⅲ",P94&lt;&gt;"新加算Ⅳ"),P94,IF(Q96&lt;&gt;"",Q96,""))</f>
        <v/>
      </c>
      <c r="BE94" s="1321"/>
      <c r="BF94" s="1321" t="str">
        <f t="shared" ref="BF94" si="81">IF(AM94&lt;&gt;0,IF(AN94="○","入力済","未入力"),"")</f>
        <v/>
      </c>
      <c r="BG94" s="1321"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321" t="str">
        <f>IF(OR(U94="新加算Ⅴ（７）",U94="新加算Ⅴ（９）",U94="新加算Ⅴ（10）",U94="新加算Ⅴ（12）",U94="新加算Ⅴ（13）",U94="新加算Ⅴ（14）"),IF(OR(AP94="○",AP94="令和６年度中に満たす"),"入力済","未入力"),"")</f>
        <v/>
      </c>
      <c r="BI94" s="1321" t="str">
        <f>IF(OR(U94="新加算Ⅰ",U94="新加算Ⅱ",U94="新加算Ⅲ",U94="新加算Ⅴ（１）",U94="新加算Ⅴ（３）",U94="新加算Ⅴ（８）"),IF(OR(AQ94="○",AQ94="令和６年度中に満たす"),"入力済","未入力"),"")</f>
        <v/>
      </c>
      <c r="BJ94" s="1512"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493" t="str">
        <f>IF(OR(U94="新加算Ⅰ",U94="新加算Ⅴ（１）",U94="新加算Ⅴ（２）",U94="新加算Ⅴ（５）",U94="新加算Ⅴ（７）",U94="新加算Ⅴ（10）"),IF(AS94="","未入力","入力済"),"")</f>
        <v/>
      </c>
      <c r="BL94" s="543" t="str">
        <f>G94</f>
        <v/>
      </c>
    </row>
    <row r="95" spans="1:64" ht="15" customHeight="1">
      <c r="A95" s="1226"/>
      <c r="B95" s="1272"/>
      <c r="C95" s="1261"/>
      <c r="D95" s="1261"/>
      <c r="E95" s="1261"/>
      <c r="F95" s="1262"/>
      <c r="G95" s="1266"/>
      <c r="H95" s="1266"/>
      <c r="I95" s="1266"/>
      <c r="J95" s="1372"/>
      <c r="K95" s="1266"/>
      <c r="L95" s="1247"/>
      <c r="M95" s="1250"/>
      <c r="N95" s="1370" t="str">
        <f>IF('別紙様式2-2（４・５月分）'!Q75="","",'別紙様式2-2（４・５月分）'!Q75)</f>
        <v/>
      </c>
      <c r="O95" s="1367"/>
      <c r="P95" s="1383"/>
      <c r="Q95" s="1384"/>
      <c r="R95" s="1385"/>
      <c r="S95" s="1393"/>
      <c r="T95" s="1414"/>
      <c r="U95" s="1416"/>
      <c r="V95" s="1458"/>
      <c r="W95" s="1351"/>
      <c r="X95" s="1353"/>
      <c r="Y95" s="1355"/>
      <c r="Z95" s="1353"/>
      <c r="AA95" s="1355"/>
      <c r="AB95" s="1353"/>
      <c r="AC95" s="1355"/>
      <c r="AD95" s="1353"/>
      <c r="AE95" s="1355"/>
      <c r="AF95" s="1355"/>
      <c r="AG95" s="1355"/>
      <c r="AH95" s="1361"/>
      <c r="AI95" s="1482"/>
      <c r="AJ95" s="1484"/>
      <c r="AK95" s="1486"/>
      <c r="AL95" s="1434"/>
      <c r="AM95" s="1488"/>
      <c r="AN95" s="1503"/>
      <c r="AO95" s="1365"/>
      <c r="AP95" s="1404"/>
      <c r="AQ95" s="1404"/>
      <c r="AR95" s="1490"/>
      <c r="AS95" s="1492"/>
      <c r="AT95" s="1331" t="str">
        <f t="shared" si="69"/>
        <v/>
      </c>
      <c r="AU95" s="651"/>
      <c r="AV95" s="1493"/>
      <c r="AW95" s="1518" t="str">
        <f>IF('別紙様式2-2（４・５月分）'!O75="","",'別紙様式2-2（４・５月分）'!O75)</f>
        <v/>
      </c>
      <c r="AX95" s="1507"/>
      <c r="AY95" s="1506"/>
      <c r="AZ95" s="1321"/>
      <c r="BA95" s="1321"/>
      <c r="BB95" s="1321"/>
      <c r="BC95" s="1321"/>
      <c r="BD95" s="1321"/>
      <c r="BE95" s="1321"/>
      <c r="BF95" s="1321"/>
      <c r="BG95" s="1321"/>
      <c r="BH95" s="1321"/>
      <c r="BI95" s="1321"/>
      <c r="BJ95" s="1512"/>
      <c r="BK95" s="1493"/>
      <c r="BL95" s="543" t="str">
        <f>G94</f>
        <v/>
      </c>
    </row>
    <row r="96" spans="1:64" ht="15" customHeight="1">
      <c r="A96" s="1240"/>
      <c r="B96" s="1272"/>
      <c r="C96" s="1261"/>
      <c r="D96" s="1261"/>
      <c r="E96" s="1261"/>
      <c r="F96" s="1262"/>
      <c r="G96" s="1266"/>
      <c r="H96" s="1266"/>
      <c r="I96" s="1266"/>
      <c r="J96" s="1372"/>
      <c r="K96" s="1266"/>
      <c r="L96" s="1247"/>
      <c r="M96" s="1250"/>
      <c r="N96" s="1371"/>
      <c r="O96" s="1368"/>
      <c r="P96" s="1390" t="s">
        <v>2179</v>
      </c>
      <c r="Q96" s="1386" t="str">
        <f>IFERROR(VLOOKUP('別紙様式2-2（４・５月分）'!AR74,【参考】数式用!$AT$5:$AV$22,3,FALSE),"")</f>
        <v/>
      </c>
      <c r="R96" s="1388" t="s">
        <v>2190</v>
      </c>
      <c r="S96" s="1396" t="str">
        <f>IFERROR(VLOOKUP(K94,【参考】数式用!$A$5:$AB$27,MATCH(Q96,【参考】数式用!$B$4:$AB$4,0)+1,0),"")</f>
        <v/>
      </c>
      <c r="T96" s="1459" t="s">
        <v>217</v>
      </c>
      <c r="U96" s="1461"/>
      <c r="V96" s="1463" t="str">
        <f>IFERROR(VLOOKUP(K94,【参考】数式用!$A$5:$AB$27,MATCH(U96,【参考】数式用!$B$4:$AB$4,0)+1,0),"")</f>
        <v/>
      </c>
      <c r="W96" s="1465" t="s">
        <v>19</v>
      </c>
      <c r="X96" s="1508">
        <v>7</v>
      </c>
      <c r="Y96" s="1407" t="s">
        <v>10</v>
      </c>
      <c r="Z96" s="1508">
        <v>4</v>
      </c>
      <c r="AA96" s="1407" t="s">
        <v>45</v>
      </c>
      <c r="AB96" s="1508">
        <v>8</v>
      </c>
      <c r="AC96" s="1407" t="s">
        <v>10</v>
      </c>
      <c r="AD96" s="1508">
        <v>3</v>
      </c>
      <c r="AE96" s="1407" t="s">
        <v>13</v>
      </c>
      <c r="AF96" s="1407" t="s">
        <v>24</v>
      </c>
      <c r="AG96" s="1407">
        <f>IF(X96&gt;=1,(AB96*12+AD96)-(X96*12+Z96)+1,"")</f>
        <v>12</v>
      </c>
      <c r="AH96" s="1409" t="s">
        <v>38</v>
      </c>
      <c r="AI96" s="1496" t="str">
        <f>IFERROR(ROUNDDOWN(ROUND(L94*V96,0)*M94,0)*AG96,"")</f>
        <v/>
      </c>
      <c r="AJ96" s="1510" t="str">
        <f>IFERROR(ROUNDDOWN(ROUND((L94*(V96-AX94)),0)*M94,0)*AG96,"")</f>
        <v/>
      </c>
      <c r="AK96" s="1494">
        <f>IFERROR(IF(OR(N94="",N95="",N97=""),0,ROUNDDOWN(ROUNDDOWN(ROUND(L94*VLOOKUP(K94,【参考】数式用!$A$5:$AB$27,MATCH("新加算Ⅳ",【参考】数式用!$B$4:$AB$4,0)+1,0),0)*M94,0)*AG96*0.5,0)),"")</f>
        <v>0</v>
      </c>
      <c r="AL96" s="1435" t="str">
        <f t="shared" ref="AL96" si="82">IF(U96&lt;&gt;"","新規に適用","")</f>
        <v/>
      </c>
      <c r="AM96" s="1498">
        <f>IFERROR(IF(OR(N97="ベア加算",N97=""),0, IF(OR(U94="新加算Ⅰ",U94="新加算Ⅱ",U94="新加算Ⅲ",U94="新加算Ⅳ"),0,ROUNDDOWN(ROUND(L94*VLOOKUP(K94,【参考】数式用!$A$5:$I$27,MATCH("ベア加算",【参考】数式用!$B$4:$I$4,0)+1,0),0)*M94,0)*AG96)),"")</f>
        <v>0</v>
      </c>
      <c r="AN96" s="1356" t="str">
        <f t="shared" ref="AN96" si="83">IF(AM96=0,"",IF(AND(U96&lt;&gt;"",AN94=""),"新規に適用",IF(AND(U96&lt;&gt;"",AN94&lt;&gt;""),"継続で適用","")))</f>
        <v/>
      </c>
      <c r="AO96" s="1356" t="str">
        <f>IF(AND(U96&lt;&gt;"",AO94=""),"新規に適用",IF(AND(U96&lt;&gt;"",AO94&lt;&gt;""),"継続で適用",""))</f>
        <v/>
      </c>
      <c r="AP96" s="1358"/>
      <c r="AQ96" s="1356" t="str">
        <f>IF(AND(U96&lt;&gt;"",AQ94=""),"新規に適用",IF(AND(U96&lt;&gt;"",AQ94&lt;&gt;""),"継続で適用",""))</f>
        <v/>
      </c>
      <c r="AR96" s="1344" t="str">
        <f t="shared" si="25"/>
        <v/>
      </c>
      <c r="AS96" s="1356" t="str">
        <f>IF(AND(U96&lt;&gt;"",AS94=""),"新規に適用",IF(AND(U96&lt;&gt;"",AS94&lt;&gt;""),"継続で適用",""))</f>
        <v/>
      </c>
      <c r="AT96" s="1331"/>
      <c r="AU96" s="651"/>
      <c r="AV96" s="1493" t="str">
        <f>IF(K94&lt;&gt;"","V列に色付け","")</f>
        <v/>
      </c>
      <c r="AW96" s="1518"/>
      <c r="AX96" s="1507"/>
      <c r="AY96" s="163"/>
      <c r="AZ96" s="163"/>
      <c r="BA96" s="163"/>
      <c r="BB96" s="163"/>
      <c r="BC96" s="163"/>
      <c r="BD96" s="163"/>
      <c r="BE96" s="163"/>
      <c r="BF96" s="163"/>
      <c r="BG96" s="163"/>
      <c r="BH96" s="163"/>
      <c r="BI96" s="163"/>
      <c r="BJ96" s="163"/>
      <c r="BK96" s="163"/>
      <c r="BL96" s="543" t="str">
        <f>G94</f>
        <v/>
      </c>
    </row>
    <row r="97" spans="1:64" ht="30" customHeight="1" thickBot="1">
      <c r="A97" s="1227"/>
      <c r="B97" s="1376"/>
      <c r="C97" s="1377"/>
      <c r="D97" s="1377"/>
      <c r="E97" s="1377"/>
      <c r="F97" s="1378"/>
      <c r="G97" s="1267"/>
      <c r="H97" s="1267"/>
      <c r="I97" s="1267"/>
      <c r="J97" s="1373"/>
      <c r="K97" s="1267"/>
      <c r="L97" s="1248"/>
      <c r="M97" s="1251"/>
      <c r="N97" s="650" t="str">
        <f>IF('別紙様式2-2（４・５月分）'!Q76="","",'別紙様式2-2（４・５月分）'!Q76)</f>
        <v/>
      </c>
      <c r="O97" s="1369"/>
      <c r="P97" s="1391"/>
      <c r="Q97" s="1387"/>
      <c r="R97" s="1389"/>
      <c r="S97" s="1395"/>
      <c r="T97" s="1460"/>
      <c r="U97" s="1462"/>
      <c r="V97" s="1464"/>
      <c r="W97" s="1466"/>
      <c r="X97" s="1509"/>
      <c r="Y97" s="1408"/>
      <c r="Z97" s="1509"/>
      <c r="AA97" s="1408"/>
      <c r="AB97" s="1509"/>
      <c r="AC97" s="1408"/>
      <c r="AD97" s="1509"/>
      <c r="AE97" s="1408"/>
      <c r="AF97" s="1408"/>
      <c r="AG97" s="1408"/>
      <c r="AH97" s="1410"/>
      <c r="AI97" s="1497"/>
      <c r="AJ97" s="1511"/>
      <c r="AK97" s="1495"/>
      <c r="AL97" s="1436"/>
      <c r="AM97" s="1499"/>
      <c r="AN97" s="1357"/>
      <c r="AO97" s="1357"/>
      <c r="AP97" s="1359"/>
      <c r="AQ97" s="1357"/>
      <c r="AR97" s="1345"/>
      <c r="AS97" s="1357"/>
      <c r="AT97" s="581" t="str">
        <f t="shared" ref="AT97" si="84">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51"/>
      <c r="AV97" s="1493"/>
      <c r="AW97" s="652" t="str">
        <f>IF('別紙様式2-2（４・５月分）'!O76="","",'別紙様式2-2（４・５月分）'!O76)</f>
        <v/>
      </c>
      <c r="AX97" s="1507"/>
      <c r="AY97" s="163"/>
      <c r="AZ97" s="163"/>
      <c r="BA97" s="163"/>
      <c r="BB97" s="163"/>
      <c r="BC97" s="163"/>
      <c r="BD97" s="163"/>
      <c r="BE97" s="163"/>
      <c r="BF97" s="163"/>
      <c r="BG97" s="163"/>
      <c r="BH97" s="163"/>
      <c r="BI97" s="163"/>
      <c r="BJ97" s="163"/>
      <c r="BK97" s="163"/>
      <c r="BL97" s="543" t="str">
        <f>G94</f>
        <v/>
      </c>
    </row>
    <row r="98" spans="1:64" ht="30" customHeight="1">
      <c r="A98" s="1241">
        <v>22</v>
      </c>
      <c r="B98" s="1272" t="str">
        <f>IF(基本情報入力シート!C75="","",基本情報入力シート!C75)</f>
        <v/>
      </c>
      <c r="C98" s="1261"/>
      <c r="D98" s="1261"/>
      <c r="E98" s="1261"/>
      <c r="F98" s="1262"/>
      <c r="G98" s="1266" t="str">
        <f>IF(基本情報入力シート!M75="","",基本情報入力シート!M75)</f>
        <v/>
      </c>
      <c r="H98" s="1266" t="str">
        <f>IF(基本情報入力シート!R75="","",基本情報入力シート!R75)</f>
        <v/>
      </c>
      <c r="I98" s="1266" t="str">
        <f>IF(基本情報入力シート!W75="","",基本情報入力シート!W75)</f>
        <v/>
      </c>
      <c r="J98" s="1372" t="str">
        <f>IF(基本情報入力シート!X75="","",基本情報入力シート!X75)</f>
        <v/>
      </c>
      <c r="K98" s="1266" t="str">
        <f>IF(基本情報入力シート!Y75="","",基本情報入力シート!Y75)</f>
        <v/>
      </c>
      <c r="L98" s="1247" t="str">
        <f>IF(基本情報入力シート!AB75="","",基本情報入力シート!AB75)</f>
        <v/>
      </c>
      <c r="M98" s="1374" t="str">
        <f>IF(基本情報入力シート!AC75="","",基本情報入力シート!AC75)</f>
        <v/>
      </c>
      <c r="N98" s="647" t="str">
        <f>IF('別紙様式2-2（４・５月分）'!Q77="","",'別紙様式2-2（４・５月分）'!Q77)</f>
        <v/>
      </c>
      <c r="O98" s="1366" t="str">
        <f>IF(SUM('別紙様式2-2（４・５月分）'!R77:R79)=0,"",SUM('別紙様式2-2（４・５月分）'!R77:R79))</f>
        <v/>
      </c>
      <c r="P98" s="1380" t="str">
        <f>IFERROR(VLOOKUP('別紙様式2-2（４・５月分）'!AR77,【参考】数式用!$AT$5:$AU$22,2,FALSE),"")</f>
        <v/>
      </c>
      <c r="Q98" s="1381"/>
      <c r="R98" s="1382"/>
      <c r="S98" s="1392" t="str">
        <f>IFERROR(VLOOKUP(K98,【参考】数式用!$A$5:$AB$27,MATCH(P98,【参考】数式用!$B$4:$AB$4,0)+1,0),"")</f>
        <v/>
      </c>
      <c r="T98" s="1413" t="s">
        <v>2173</v>
      </c>
      <c r="U98" s="1415"/>
      <c r="V98" s="1457" t="str">
        <f>IFERROR(VLOOKUP(K98,【参考】数式用!$A$5:$AB$27,MATCH(U98,【参考】数式用!$B$4:$AB$4,0)+1,0),"")</f>
        <v/>
      </c>
      <c r="W98" s="1350" t="s">
        <v>19</v>
      </c>
      <c r="X98" s="1352">
        <v>6</v>
      </c>
      <c r="Y98" s="1354" t="s">
        <v>10</v>
      </c>
      <c r="Z98" s="1352">
        <v>6</v>
      </c>
      <c r="AA98" s="1354" t="s">
        <v>45</v>
      </c>
      <c r="AB98" s="1352">
        <v>7</v>
      </c>
      <c r="AC98" s="1354" t="s">
        <v>10</v>
      </c>
      <c r="AD98" s="1352">
        <v>3</v>
      </c>
      <c r="AE98" s="1354" t="s">
        <v>13</v>
      </c>
      <c r="AF98" s="1354" t="s">
        <v>24</v>
      </c>
      <c r="AG98" s="1354">
        <f>IF(X98&gt;=1,(AB98*12+AD98)-(X98*12+Z98)+1,"")</f>
        <v>10</v>
      </c>
      <c r="AH98" s="1360" t="s">
        <v>38</v>
      </c>
      <c r="AI98" s="1481" t="str">
        <f>IFERROR(ROUNDDOWN(ROUND(L98*V98,0)*M98,0)*AG98,"")</f>
        <v/>
      </c>
      <c r="AJ98" s="1483" t="str">
        <f>IFERROR(ROUNDDOWN(ROUND((L98*(V98-AX98)),0)*M98,0)*AG98,"")</f>
        <v/>
      </c>
      <c r="AK98" s="1485">
        <f>IFERROR(IF(OR(N98="",N99="",N101=""),0,ROUNDDOWN(ROUNDDOWN(ROUND(L98*VLOOKUP(K98,【参考】数式用!$A$5:$AB$27,MATCH("新加算Ⅳ",【参考】数式用!$B$4:$AB$4,0)+1,0),0)*M98,0)*AG98*0.5,0)),"")</f>
        <v>0</v>
      </c>
      <c r="AL98" s="1433"/>
      <c r="AM98" s="1487">
        <f>IFERROR(IF(OR(N101="ベア加算",N101=""),0, IF(OR(U98="新加算Ⅰ",U98="新加算Ⅱ",U98="新加算Ⅲ",U98="新加算Ⅳ"),ROUNDDOWN(ROUND(L98*VLOOKUP(K98,【参考】数式用!$A$5:$I$27,MATCH("ベア加算",【参考】数式用!$B$4:$I$4,0)+1,0),0)*M98,0)*AG98,0)),"")</f>
        <v>0</v>
      </c>
      <c r="AN98" s="1502"/>
      <c r="AO98" s="1364"/>
      <c r="AP98" s="1403"/>
      <c r="AQ98" s="1403"/>
      <c r="AR98" s="1489"/>
      <c r="AS98" s="1491"/>
      <c r="AT98" s="556" t="str">
        <f t="shared" si="67"/>
        <v/>
      </c>
      <c r="AU98" s="651"/>
      <c r="AV98" s="1493" t="str">
        <f>IF(K98&lt;&gt;"","V列に色付け","")</f>
        <v/>
      </c>
      <c r="AW98" s="652" t="str">
        <f>IF('別紙様式2-2（４・５月分）'!O77="","",'別紙様式2-2（４・５月分）'!O77)</f>
        <v/>
      </c>
      <c r="AX98" s="1507" t="str">
        <f>IF(SUM('別紙様式2-2（４・５月分）'!P77:P79)=0,"",SUM('別紙様式2-2（４・５月分）'!P77:P79))</f>
        <v/>
      </c>
      <c r="AY98" s="1506" t="str">
        <f>IFERROR(VLOOKUP(K98,【参考】数式用!$AJ$2:$AK$24,2,FALSE),"")</f>
        <v/>
      </c>
      <c r="AZ98" s="1321" t="s">
        <v>2098</v>
      </c>
      <c r="BA98" s="1321" t="s">
        <v>2099</v>
      </c>
      <c r="BB98" s="1321" t="s">
        <v>2100</v>
      </c>
      <c r="BC98" s="1321" t="s">
        <v>2101</v>
      </c>
      <c r="BD98" s="1321" t="str">
        <f>IF(AND(P98&lt;&gt;"新加算Ⅰ",P98&lt;&gt;"新加算Ⅱ",P98&lt;&gt;"新加算Ⅲ",P98&lt;&gt;"新加算Ⅳ"),P98,IF(Q100&lt;&gt;"",Q100,""))</f>
        <v/>
      </c>
      <c r="BE98" s="1321"/>
      <c r="BF98" s="1321" t="str">
        <f t="shared" ref="BF98" si="85">IF(AM98&lt;&gt;0,IF(AN98="○","入力済","未入力"),"")</f>
        <v/>
      </c>
      <c r="BG98" s="1321"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321" t="str">
        <f>IF(OR(U98="新加算Ⅴ（７）",U98="新加算Ⅴ（９）",U98="新加算Ⅴ（10）",U98="新加算Ⅴ（12）",U98="新加算Ⅴ（13）",U98="新加算Ⅴ（14）"),IF(OR(AP98="○",AP98="令和６年度中に満たす"),"入力済","未入力"),"")</f>
        <v/>
      </c>
      <c r="BI98" s="1321" t="str">
        <f>IF(OR(U98="新加算Ⅰ",U98="新加算Ⅱ",U98="新加算Ⅲ",U98="新加算Ⅴ（１）",U98="新加算Ⅴ（３）",U98="新加算Ⅴ（８）"),IF(OR(AQ98="○",AQ98="令和６年度中に満たす"),"入力済","未入力"),"")</f>
        <v/>
      </c>
      <c r="BJ98" s="1512"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493" t="str">
        <f>IF(OR(U98="新加算Ⅰ",U98="新加算Ⅴ（１）",U98="新加算Ⅴ（２）",U98="新加算Ⅴ（５）",U98="新加算Ⅴ（７）",U98="新加算Ⅴ（10）"),IF(AS98="","未入力","入力済"),"")</f>
        <v/>
      </c>
      <c r="BL98" s="543" t="str">
        <f>G98</f>
        <v/>
      </c>
    </row>
    <row r="99" spans="1:64" ht="15" customHeight="1">
      <c r="A99" s="1226"/>
      <c r="B99" s="1272"/>
      <c r="C99" s="1261"/>
      <c r="D99" s="1261"/>
      <c r="E99" s="1261"/>
      <c r="F99" s="1262"/>
      <c r="G99" s="1266"/>
      <c r="H99" s="1266"/>
      <c r="I99" s="1266"/>
      <c r="J99" s="1372"/>
      <c r="K99" s="1266"/>
      <c r="L99" s="1247"/>
      <c r="M99" s="1374"/>
      <c r="N99" s="1370" t="str">
        <f>IF('別紙様式2-2（４・５月分）'!Q78="","",'別紙様式2-2（４・５月分）'!Q78)</f>
        <v/>
      </c>
      <c r="O99" s="1367"/>
      <c r="P99" s="1383"/>
      <c r="Q99" s="1384"/>
      <c r="R99" s="1385"/>
      <c r="S99" s="1393"/>
      <c r="T99" s="1414"/>
      <c r="U99" s="1416"/>
      <c r="V99" s="1458"/>
      <c r="W99" s="1351"/>
      <c r="X99" s="1353"/>
      <c r="Y99" s="1355"/>
      <c r="Z99" s="1353"/>
      <c r="AA99" s="1355"/>
      <c r="AB99" s="1353"/>
      <c r="AC99" s="1355"/>
      <c r="AD99" s="1353"/>
      <c r="AE99" s="1355"/>
      <c r="AF99" s="1355"/>
      <c r="AG99" s="1355"/>
      <c r="AH99" s="1361"/>
      <c r="AI99" s="1482"/>
      <c r="AJ99" s="1484"/>
      <c r="AK99" s="1486"/>
      <c r="AL99" s="1434"/>
      <c r="AM99" s="1488"/>
      <c r="AN99" s="1503"/>
      <c r="AO99" s="1365"/>
      <c r="AP99" s="1404"/>
      <c r="AQ99" s="1404"/>
      <c r="AR99" s="1490"/>
      <c r="AS99" s="1492"/>
      <c r="AT99" s="1331" t="str">
        <f t="shared" si="69"/>
        <v/>
      </c>
      <c r="AU99" s="651"/>
      <c r="AV99" s="1493"/>
      <c r="AW99" s="1518" t="str">
        <f>IF('別紙様式2-2（４・５月分）'!O78="","",'別紙様式2-2（４・５月分）'!O78)</f>
        <v/>
      </c>
      <c r="AX99" s="1507"/>
      <c r="AY99" s="1506"/>
      <c r="AZ99" s="1321"/>
      <c r="BA99" s="1321"/>
      <c r="BB99" s="1321"/>
      <c r="BC99" s="1321"/>
      <c r="BD99" s="1321"/>
      <c r="BE99" s="1321"/>
      <c r="BF99" s="1321"/>
      <c r="BG99" s="1321"/>
      <c r="BH99" s="1321"/>
      <c r="BI99" s="1321"/>
      <c r="BJ99" s="1512"/>
      <c r="BK99" s="1493"/>
      <c r="BL99" s="543" t="str">
        <f>G98</f>
        <v/>
      </c>
    </row>
    <row r="100" spans="1:64" ht="15" customHeight="1">
      <c r="A100" s="1240"/>
      <c r="B100" s="1272"/>
      <c r="C100" s="1261"/>
      <c r="D100" s="1261"/>
      <c r="E100" s="1261"/>
      <c r="F100" s="1262"/>
      <c r="G100" s="1266"/>
      <c r="H100" s="1266"/>
      <c r="I100" s="1266"/>
      <c r="J100" s="1372"/>
      <c r="K100" s="1266"/>
      <c r="L100" s="1247"/>
      <c r="M100" s="1374"/>
      <c r="N100" s="1371"/>
      <c r="O100" s="1368"/>
      <c r="P100" s="1390" t="s">
        <v>2179</v>
      </c>
      <c r="Q100" s="1386" t="str">
        <f>IFERROR(VLOOKUP('別紙様式2-2（４・５月分）'!AR77,【参考】数式用!$AT$5:$AV$22,3,FALSE),"")</f>
        <v/>
      </c>
      <c r="R100" s="1388" t="s">
        <v>2190</v>
      </c>
      <c r="S100" s="1394" t="str">
        <f>IFERROR(VLOOKUP(K98,【参考】数式用!$A$5:$AB$27,MATCH(Q100,【参考】数式用!$B$4:$AB$4,0)+1,0),"")</f>
        <v/>
      </c>
      <c r="T100" s="1459" t="s">
        <v>217</v>
      </c>
      <c r="U100" s="1461"/>
      <c r="V100" s="1463" t="str">
        <f>IFERROR(VLOOKUP(K98,【参考】数式用!$A$5:$AB$27,MATCH(U100,【参考】数式用!$B$4:$AB$4,0)+1,0),"")</f>
        <v/>
      </c>
      <c r="W100" s="1465" t="s">
        <v>19</v>
      </c>
      <c r="X100" s="1508">
        <v>7</v>
      </c>
      <c r="Y100" s="1407" t="s">
        <v>10</v>
      </c>
      <c r="Z100" s="1508">
        <v>4</v>
      </c>
      <c r="AA100" s="1407" t="s">
        <v>45</v>
      </c>
      <c r="AB100" s="1508">
        <v>8</v>
      </c>
      <c r="AC100" s="1407" t="s">
        <v>10</v>
      </c>
      <c r="AD100" s="1508">
        <v>3</v>
      </c>
      <c r="AE100" s="1407" t="s">
        <v>13</v>
      </c>
      <c r="AF100" s="1407" t="s">
        <v>24</v>
      </c>
      <c r="AG100" s="1407">
        <f>IF(X100&gt;=1,(AB100*12+AD100)-(X100*12+Z100)+1,"")</f>
        <v>12</v>
      </c>
      <c r="AH100" s="1409" t="s">
        <v>38</v>
      </c>
      <c r="AI100" s="1496" t="str">
        <f>IFERROR(ROUNDDOWN(ROUND(L98*V100,0)*M98,0)*AG100,"")</f>
        <v/>
      </c>
      <c r="AJ100" s="1510" t="str">
        <f>IFERROR(ROUNDDOWN(ROUND((L98*(V100-AX98)),0)*M98,0)*AG100,"")</f>
        <v/>
      </c>
      <c r="AK100" s="1494">
        <f>IFERROR(IF(OR(N98="",N99="",N101=""),0,ROUNDDOWN(ROUNDDOWN(ROUND(L98*VLOOKUP(K98,【参考】数式用!$A$5:$AB$27,MATCH("新加算Ⅳ",【参考】数式用!$B$4:$AB$4,0)+1,0),0)*M98,0)*AG100*0.5,0)),"")</f>
        <v>0</v>
      </c>
      <c r="AL100" s="1435" t="str">
        <f t="shared" ref="AL100" si="86">IF(U100&lt;&gt;"","新規に適用","")</f>
        <v/>
      </c>
      <c r="AM100" s="1498">
        <f>IFERROR(IF(OR(N101="ベア加算",N101=""),0, IF(OR(U98="新加算Ⅰ",U98="新加算Ⅱ",U98="新加算Ⅲ",U98="新加算Ⅳ"),0,ROUNDDOWN(ROUND(L98*VLOOKUP(K98,【参考】数式用!$A$5:$I$27,MATCH("ベア加算",【参考】数式用!$B$4:$I$4,0)+1,0),0)*M98,0)*AG100)),"")</f>
        <v>0</v>
      </c>
      <c r="AN100" s="1356" t="str">
        <f t="shared" ref="AN100" si="87">IF(AM100=0,"",IF(AND(U100&lt;&gt;"",AN98=""),"新規に適用",IF(AND(U100&lt;&gt;"",AN98&lt;&gt;""),"継続で適用","")))</f>
        <v/>
      </c>
      <c r="AO100" s="1356" t="str">
        <f>IF(AND(U100&lt;&gt;"",AO98=""),"新規に適用",IF(AND(U100&lt;&gt;"",AO98&lt;&gt;""),"継続で適用",""))</f>
        <v/>
      </c>
      <c r="AP100" s="1358"/>
      <c r="AQ100" s="1356" t="str">
        <f>IF(AND(U100&lt;&gt;"",AQ98=""),"新規に適用",IF(AND(U100&lt;&gt;"",AQ98&lt;&gt;""),"継続で適用",""))</f>
        <v/>
      </c>
      <c r="AR100" s="1344" t="str">
        <f t="shared" si="25"/>
        <v/>
      </c>
      <c r="AS100" s="1356" t="str">
        <f>IF(AND(U100&lt;&gt;"",AS98=""),"新規に適用",IF(AND(U100&lt;&gt;"",AS98&lt;&gt;""),"継続で適用",""))</f>
        <v/>
      </c>
      <c r="AT100" s="1331"/>
      <c r="AU100" s="651"/>
      <c r="AV100" s="1493" t="str">
        <f>IF(K98&lt;&gt;"","V列に色付け","")</f>
        <v/>
      </c>
      <c r="AW100" s="1518"/>
      <c r="AX100" s="1507"/>
      <c r="AY100" s="163"/>
      <c r="AZ100" s="163"/>
      <c r="BA100" s="163"/>
      <c r="BB100" s="163"/>
      <c r="BC100" s="163"/>
      <c r="BD100" s="163"/>
      <c r="BE100" s="163"/>
      <c r="BF100" s="163"/>
      <c r="BG100" s="163"/>
      <c r="BH100" s="163"/>
      <c r="BI100" s="163"/>
      <c r="BJ100" s="163"/>
      <c r="BK100" s="163"/>
      <c r="BL100" s="543" t="str">
        <f>G98</f>
        <v/>
      </c>
    </row>
    <row r="101" spans="1:64" ht="30" customHeight="1" thickBot="1">
      <c r="A101" s="1227"/>
      <c r="B101" s="1376"/>
      <c r="C101" s="1377"/>
      <c r="D101" s="1377"/>
      <c r="E101" s="1377"/>
      <c r="F101" s="1378"/>
      <c r="G101" s="1267"/>
      <c r="H101" s="1267"/>
      <c r="I101" s="1267"/>
      <c r="J101" s="1373"/>
      <c r="K101" s="1267"/>
      <c r="L101" s="1248"/>
      <c r="M101" s="1375"/>
      <c r="N101" s="650" t="str">
        <f>IF('別紙様式2-2（４・５月分）'!Q79="","",'別紙様式2-2（４・５月分）'!Q79)</f>
        <v/>
      </c>
      <c r="O101" s="1369"/>
      <c r="P101" s="1391"/>
      <c r="Q101" s="1387"/>
      <c r="R101" s="1389"/>
      <c r="S101" s="1395"/>
      <c r="T101" s="1460"/>
      <c r="U101" s="1462"/>
      <c r="V101" s="1464"/>
      <c r="W101" s="1466"/>
      <c r="X101" s="1509"/>
      <c r="Y101" s="1408"/>
      <c r="Z101" s="1509"/>
      <c r="AA101" s="1408"/>
      <c r="AB101" s="1509"/>
      <c r="AC101" s="1408"/>
      <c r="AD101" s="1509"/>
      <c r="AE101" s="1408"/>
      <c r="AF101" s="1408"/>
      <c r="AG101" s="1408"/>
      <c r="AH101" s="1410"/>
      <c r="AI101" s="1497"/>
      <c r="AJ101" s="1511"/>
      <c r="AK101" s="1495"/>
      <c r="AL101" s="1436"/>
      <c r="AM101" s="1499"/>
      <c r="AN101" s="1357"/>
      <c r="AO101" s="1357"/>
      <c r="AP101" s="1359"/>
      <c r="AQ101" s="1357"/>
      <c r="AR101" s="1345"/>
      <c r="AS101" s="1357"/>
      <c r="AT101" s="581" t="str">
        <f t="shared" ref="AT101" si="88">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51"/>
      <c r="AV101" s="1493"/>
      <c r="AW101" s="652" t="str">
        <f>IF('別紙様式2-2（４・５月分）'!O79="","",'別紙様式2-2（４・５月分）'!O79)</f>
        <v/>
      </c>
      <c r="AX101" s="1507"/>
      <c r="AY101" s="163"/>
      <c r="AZ101" s="163"/>
      <c r="BA101" s="163"/>
      <c r="BB101" s="163"/>
      <c r="BC101" s="163"/>
      <c r="BD101" s="163"/>
      <c r="BE101" s="163"/>
      <c r="BF101" s="163"/>
      <c r="BG101" s="163"/>
      <c r="BH101" s="163"/>
      <c r="BI101" s="163"/>
      <c r="BJ101" s="163"/>
      <c r="BK101" s="163"/>
      <c r="BL101" s="543" t="str">
        <f>G98</f>
        <v/>
      </c>
    </row>
    <row r="102" spans="1:64" ht="30" customHeight="1">
      <c r="A102" s="1225">
        <v>23</v>
      </c>
      <c r="B102" s="1272" t="str">
        <f>IF(基本情報入力シート!C76="","",基本情報入力シート!C76)</f>
        <v/>
      </c>
      <c r="C102" s="1261"/>
      <c r="D102" s="1261"/>
      <c r="E102" s="1261"/>
      <c r="F102" s="1262"/>
      <c r="G102" s="1266" t="str">
        <f>IF(基本情報入力シート!M76="","",基本情報入力シート!M76)</f>
        <v/>
      </c>
      <c r="H102" s="1266" t="str">
        <f>IF(基本情報入力シート!R76="","",基本情報入力シート!R76)</f>
        <v/>
      </c>
      <c r="I102" s="1266" t="str">
        <f>IF(基本情報入力シート!W76="","",基本情報入力シート!W76)</f>
        <v/>
      </c>
      <c r="J102" s="1372" t="str">
        <f>IF(基本情報入力シート!X76="","",基本情報入力シート!X76)</f>
        <v/>
      </c>
      <c r="K102" s="1266" t="str">
        <f>IF(基本情報入力シート!Y76="","",基本情報入力シート!Y76)</f>
        <v/>
      </c>
      <c r="L102" s="1247" t="str">
        <f>IF(基本情報入力シート!AB76="","",基本情報入力シート!AB76)</f>
        <v/>
      </c>
      <c r="M102" s="1374" t="str">
        <f>IF(基本情報入力シート!AC76="","",基本情報入力シート!AC76)</f>
        <v/>
      </c>
      <c r="N102" s="647" t="str">
        <f>IF('別紙様式2-2（４・５月分）'!Q80="","",'別紙様式2-2（４・５月分）'!Q80)</f>
        <v/>
      </c>
      <c r="O102" s="1366" t="str">
        <f>IF(SUM('別紙様式2-2（４・５月分）'!R80:R82)=0,"",SUM('別紙様式2-2（４・５月分）'!R80:R82))</f>
        <v/>
      </c>
      <c r="P102" s="1380" t="str">
        <f>IFERROR(VLOOKUP('別紙様式2-2（４・５月分）'!AR80,【参考】数式用!$AT$5:$AU$22,2,FALSE),"")</f>
        <v/>
      </c>
      <c r="Q102" s="1381"/>
      <c r="R102" s="1382"/>
      <c r="S102" s="1392" t="str">
        <f>IFERROR(VLOOKUP(K102,【参考】数式用!$A$5:$AB$27,MATCH(P102,【参考】数式用!$B$4:$AB$4,0)+1,0),"")</f>
        <v/>
      </c>
      <c r="T102" s="1413" t="s">
        <v>2173</v>
      </c>
      <c r="U102" s="1415"/>
      <c r="V102" s="1457" t="str">
        <f>IFERROR(VLOOKUP(K102,【参考】数式用!$A$5:$AB$27,MATCH(U102,【参考】数式用!$B$4:$AB$4,0)+1,0),"")</f>
        <v/>
      </c>
      <c r="W102" s="1350" t="s">
        <v>19</v>
      </c>
      <c r="X102" s="1352">
        <v>6</v>
      </c>
      <c r="Y102" s="1354" t="s">
        <v>10</v>
      </c>
      <c r="Z102" s="1352">
        <v>6</v>
      </c>
      <c r="AA102" s="1354" t="s">
        <v>45</v>
      </c>
      <c r="AB102" s="1352">
        <v>7</v>
      </c>
      <c r="AC102" s="1354" t="s">
        <v>10</v>
      </c>
      <c r="AD102" s="1352">
        <v>3</v>
      </c>
      <c r="AE102" s="1354" t="s">
        <v>13</v>
      </c>
      <c r="AF102" s="1354" t="s">
        <v>24</v>
      </c>
      <c r="AG102" s="1354">
        <f>IF(X102&gt;=1,(AB102*12+AD102)-(X102*12+Z102)+1,"")</f>
        <v>10</v>
      </c>
      <c r="AH102" s="1360" t="s">
        <v>38</v>
      </c>
      <c r="AI102" s="1481" t="str">
        <f>IFERROR(ROUNDDOWN(ROUND(L102*V102,0)*M102,0)*AG102,"")</f>
        <v/>
      </c>
      <c r="AJ102" s="1483" t="str">
        <f>IFERROR(ROUNDDOWN(ROUND((L102*(V102-AX102)),0)*M102,0)*AG102,"")</f>
        <v/>
      </c>
      <c r="AK102" s="1485">
        <f>IFERROR(IF(OR(N102="",N103="",N105=""),0,ROUNDDOWN(ROUNDDOWN(ROUND(L102*VLOOKUP(K102,【参考】数式用!$A$5:$AB$27,MATCH("新加算Ⅳ",【参考】数式用!$B$4:$AB$4,0)+1,0),0)*M102,0)*AG102*0.5,0)),"")</f>
        <v>0</v>
      </c>
      <c r="AL102" s="1433"/>
      <c r="AM102" s="1487">
        <f>IFERROR(IF(OR(N105="ベア加算",N105=""),0, IF(OR(U102="新加算Ⅰ",U102="新加算Ⅱ",U102="新加算Ⅲ",U102="新加算Ⅳ"),ROUNDDOWN(ROUND(L102*VLOOKUP(K102,【参考】数式用!$A$5:$I$27,MATCH("ベア加算",【参考】数式用!$B$4:$I$4,0)+1,0),0)*M102,0)*AG102,0)),"")</f>
        <v>0</v>
      </c>
      <c r="AN102" s="1502"/>
      <c r="AO102" s="1364"/>
      <c r="AP102" s="1403"/>
      <c r="AQ102" s="1403"/>
      <c r="AR102" s="1489"/>
      <c r="AS102" s="1491"/>
      <c r="AT102" s="556" t="str">
        <f t="shared" si="67"/>
        <v/>
      </c>
      <c r="AU102" s="651"/>
      <c r="AV102" s="1493" t="str">
        <f>IF(K102&lt;&gt;"","V列に色付け","")</f>
        <v/>
      </c>
      <c r="AW102" s="652" t="str">
        <f>IF('別紙様式2-2（４・５月分）'!O80="","",'別紙様式2-2（４・５月分）'!O80)</f>
        <v/>
      </c>
      <c r="AX102" s="1507" t="str">
        <f>IF(SUM('別紙様式2-2（４・５月分）'!P80:P82)=0,"",SUM('別紙様式2-2（４・５月分）'!P80:P82))</f>
        <v/>
      </c>
      <c r="AY102" s="1506" t="str">
        <f>IFERROR(VLOOKUP(K102,【参考】数式用!$AJ$2:$AK$24,2,FALSE),"")</f>
        <v/>
      </c>
      <c r="AZ102" s="1321" t="s">
        <v>2098</v>
      </c>
      <c r="BA102" s="1321" t="s">
        <v>2099</v>
      </c>
      <c r="BB102" s="1321" t="s">
        <v>2100</v>
      </c>
      <c r="BC102" s="1321" t="s">
        <v>2101</v>
      </c>
      <c r="BD102" s="1321" t="str">
        <f>IF(AND(P102&lt;&gt;"新加算Ⅰ",P102&lt;&gt;"新加算Ⅱ",P102&lt;&gt;"新加算Ⅲ",P102&lt;&gt;"新加算Ⅳ"),P102,IF(Q104&lt;&gt;"",Q104,""))</f>
        <v/>
      </c>
      <c r="BE102" s="1321"/>
      <c r="BF102" s="1321" t="str">
        <f t="shared" ref="BF102" si="89">IF(AM102&lt;&gt;0,IF(AN102="○","入力済","未入力"),"")</f>
        <v/>
      </c>
      <c r="BG102" s="1321"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321" t="str">
        <f>IF(OR(U102="新加算Ⅴ（７）",U102="新加算Ⅴ（９）",U102="新加算Ⅴ（10）",U102="新加算Ⅴ（12）",U102="新加算Ⅴ（13）",U102="新加算Ⅴ（14）"),IF(OR(AP102="○",AP102="令和６年度中に満たす"),"入力済","未入力"),"")</f>
        <v/>
      </c>
      <c r="BI102" s="1321" t="str">
        <f>IF(OR(U102="新加算Ⅰ",U102="新加算Ⅱ",U102="新加算Ⅲ",U102="新加算Ⅴ（１）",U102="新加算Ⅴ（３）",U102="新加算Ⅴ（８）"),IF(OR(AQ102="○",AQ102="令和６年度中に満たす"),"入力済","未入力"),"")</f>
        <v/>
      </c>
      <c r="BJ102" s="1512"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493" t="str">
        <f>IF(OR(U102="新加算Ⅰ",U102="新加算Ⅴ（１）",U102="新加算Ⅴ（２）",U102="新加算Ⅴ（５）",U102="新加算Ⅴ（７）",U102="新加算Ⅴ（10）"),IF(AS102="","未入力","入力済"),"")</f>
        <v/>
      </c>
      <c r="BL102" s="543" t="str">
        <f>G102</f>
        <v/>
      </c>
    </row>
    <row r="103" spans="1:64" ht="15" customHeight="1">
      <c r="A103" s="1226"/>
      <c r="B103" s="1272"/>
      <c r="C103" s="1261"/>
      <c r="D103" s="1261"/>
      <c r="E103" s="1261"/>
      <c r="F103" s="1262"/>
      <c r="G103" s="1266"/>
      <c r="H103" s="1266"/>
      <c r="I103" s="1266"/>
      <c r="J103" s="1372"/>
      <c r="K103" s="1266"/>
      <c r="L103" s="1247"/>
      <c r="M103" s="1374"/>
      <c r="N103" s="1370" t="str">
        <f>IF('別紙様式2-2（４・５月分）'!Q81="","",'別紙様式2-2（４・５月分）'!Q81)</f>
        <v/>
      </c>
      <c r="O103" s="1367"/>
      <c r="P103" s="1383"/>
      <c r="Q103" s="1384"/>
      <c r="R103" s="1385"/>
      <c r="S103" s="1393"/>
      <c r="T103" s="1414"/>
      <c r="U103" s="1416"/>
      <c r="V103" s="1458"/>
      <c r="W103" s="1351"/>
      <c r="X103" s="1353"/>
      <c r="Y103" s="1355"/>
      <c r="Z103" s="1353"/>
      <c r="AA103" s="1355"/>
      <c r="AB103" s="1353"/>
      <c r="AC103" s="1355"/>
      <c r="AD103" s="1353"/>
      <c r="AE103" s="1355"/>
      <c r="AF103" s="1355"/>
      <c r="AG103" s="1355"/>
      <c r="AH103" s="1361"/>
      <c r="AI103" s="1482"/>
      <c r="AJ103" s="1484"/>
      <c r="AK103" s="1486"/>
      <c r="AL103" s="1434"/>
      <c r="AM103" s="1488"/>
      <c r="AN103" s="1503"/>
      <c r="AO103" s="1365"/>
      <c r="AP103" s="1404"/>
      <c r="AQ103" s="1404"/>
      <c r="AR103" s="1490"/>
      <c r="AS103" s="1492"/>
      <c r="AT103" s="1331" t="str">
        <f t="shared" si="69"/>
        <v/>
      </c>
      <c r="AU103" s="651"/>
      <c r="AV103" s="1493"/>
      <c r="AW103" s="1518" t="str">
        <f>IF('別紙様式2-2（４・５月分）'!O81="","",'別紙様式2-2（４・５月分）'!O81)</f>
        <v/>
      </c>
      <c r="AX103" s="1507"/>
      <c r="AY103" s="1506"/>
      <c r="AZ103" s="1321"/>
      <c r="BA103" s="1321"/>
      <c r="BB103" s="1321"/>
      <c r="BC103" s="1321"/>
      <c r="BD103" s="1321"/>
      <c r="BE103" s="1321"/>
      <c r="BF103" s="1321"/>
      <c r="BG103" s="1321"/>
      <c r="BH103" s="1321"/>
      <c r="BI103" s="1321"/>
      <c r="BJ103" s="1512"/>
      <c r="BK103" s="1493"/>
      <c r="BL103" s="543" t="str">
        <f>G102</f>
        <v/>
      </c>
    </row>
    <row r="104" spans="1:64" ht="15" customHeight="1">
      <c r="A104" s="1240"/>
      <c r="B104" s="1272"/>
      <c r="C104" s="1261"/>
      <c r="D104" s="1261"/>
      <c r="E104" s="1261"/>
      <c r="F104" s="1262"/>
      <c r="G104" s="1266"/>
      <c r="H104" s="1266"/>
      <c r="I104" s="1266"/>
      <c r="J104" s="1372"/>
      <c r="K104" s="1266"/>
      <c r="L104" s="1247"/>
      <c r="M104" s="1374"/>
      <c r="N104" s="1371"/>
      <c r="O104" s="1368"/>
      <c r="P104" s="1390" t="s">
        <v>2179</v>
      </c>
      <c r="Q104" s="1386" t="str">
        <f>IFERROR(VLOOKUP('別紙様式2-2（４・５月分）'!AR80,【参考】数式用!$AT$5:$AV$22,3,FALSE),"")</f>
        <v/>
      </c>
      <c r="R104" s="1388" t="s">
        <v>2190</v>
      </c>
      <c r="S104" s="1394" t="str">
        <f>IFERROR(VLOOKUP(K102,【参考】数式用!$A$5:$AB$27,MATCH(Q104,【参考】数式用!$B$4:$AB$4,0)+1,0),"")</f>
        <v/>
      </c>
      <c r="T104" s="1459" t="s">
        <v>217</v>
      </c>
      <c r="U104" s="1461"/>
      <c r="V104" s="1463" t="str">
        <f>IFERROR(VLOOKUP(K102,【参考】数式用!$A$5:$AB$27,MATCH(U104,【参考】数式用!$B$4:$AB$4,0)+1,0),"")</f>
        <v/>
      </c>
      <c r="W104" s="1465" t="s">
        <v>19</v>
      </c>
      <c r="X104" s="1508">
        <v>7</v>
      </c>
      <c r="Y104" s="1407" t="s">
        <v>10</v>
      </c>
      <c r="Z104" s="1508">
        <v>4</v>
      </c>
      <c r="AA104" s="1407" t="s">
        <v>45</v>
      </c>
      <c r="AB104" s="1508">
        <v>8</v>
      </c>
      <c r="AC104" s="1407" t="s">
        <v>10</v>
      </c>
      <c r="AD104" s="1508">
        <v>3</v>
      </c>
      <c r="AE104" s="1407" t="s">
        <v>13</v>
      </c>
      <c r="AF104" s="1407" t="s">
        <v>24</v>
      </c>
      <c r="AG104" s="1407">
        <f>IF(X104&gt;=1,(AB104*12+AD104)-(X104*12+Z104)+1,"")</f>
        <v>12</v>
      </c>
      <c r="AH104" s="1409" t="s">
        <v>38</v>
      </c>
      <c r="AI104" s="1496" t="str">
        <f>IFERROR(ROUNDDOWN(ROUND(L102*V104,0)*M102,0)*AG104,"")</f>
        <v/>
      </c>
      <c r="AJ104" s="1510" t="str">
        <f>IFERROR(ROUNDDOWN(ROUND((L102*(V104-AX102)),0)*M102,0)*AG104,"")</f>
        <v/>
      </c>
      <c r="AK104" s="1494">
        <f>IFERROR(IF(OR(N102="",N103="",N105=""),0,ROUNDDOWN(ROUNDDOWN(ROUND(L102*VLOOKUP(K102,【参考】数式用!$A$5:$AB$27,MATCH("新加算Ⅳ",【参考】数式用!$B$4:$AB$4,0)+1,0),0)*M102,0)*AG104*0.5,0)),"")</f>
        <v>0</v>
      </c>
      <c r="AL104" s="1435" t="str">
        <f t="shared" ref="AL104" si="90">IF(U104&lt;&gt;"","新規に適用","")</f>
        <v/>
      </c>
      <c r="AM104" s="1498">
        <f>IFERROR(IF(OR(N105="ベア加算",N105=""),0, IF(OR(U102="新加算Ⅰ",U102="新加算Ⅱ",U102="新加算Ⅲ",U102="新加算Ⅳ"),0,ROUNDDOWN(ROUND(L102*VLOOKUP(K102,【参考】数式用!$A$5:$I$27,MATCH("ベア加算",【参考】数式用!$B$4:$I$4,0)+1,0),0)*M102,0)*AG104)),"")</f>
        <v>0</v>
      </c>
      <c r="AN104" s="1356" t="str">
        <f t="shared" ref="AN104" si="91">IF(AM104=0,"",IF(AND(U104&lt;&gt;"",AN102=""),"新規に適用",IF(AND(U104&lt;&gt;"",AN102&lt;&gt;""),"継続で適用","")))</f>
        <v/>
      </c>
      <c r="AO104" s="1356" t="str">
        <f>IF(AND(U104&lt;&gt;"",AO102=""),"新規に適用",IF(AND(U104&lt;&gt;"",AO102&lt;&gt;""),"継続で適用",""))</f>
        <v/>
      </c>
      <c r="AP104" s="1358"/>
      <c r="AQ104" s="1356" t="str">
        <f>IF(AND(U104&lt;&gt;"",AQ102=""),"新規に適用",IF(AND(U104&lt;&gt;"",AQ102&lt;&gt;""),"継続で適用",""))</f>
        <v/>
      </c>
      <c r="AR104" s="1344" t="str">
        <f t="shared" ref="AR104:AR164" si="92">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56" t="str">
        <f>IF(AND(U104&lt;&gt;"",AS102=""),"新規に適用",IF(AND(U104&lt;&gt;"",AS102&lt;&gt;""),"継続で適用",""))</f>
        <v/>
      </c>
      <c r="AT104" s="1331"/>
      <c r="AU104" s="651"/>
      <c r="AV104" s="1493" t="str">
        <f>IF(K102&lt;&gt;"","V列に色付け","")</f>
        <v/>
      </c>
      <c r="AW104" s="1518"/>
      <c r="AX104" s="1507"/>
      <c r="AY104" s="163"/>
      <c r="AZ104" s="163"/>
      <c r="BA104" s="163"/>
      <c r="BB104" s="163"/>
      <c r="BC104" s="163"/>
      <c r="BD104" s="163"/>
      <c r="BE104" s="163"/>
      <c r="BF104" s="163"/>
      <c r="BG104" s="163"/>
      <c r="BH104" s="163"/>
      <c r="BI104" s="163"/>
      <c r="BJ104" s="163"/>
      <c r="BK104" s="163"/>
      <c r="BL104" s="543" t="str">
        <f>G102</f>
        <v/>
      </c>
    </row>
    <row r="105" spans="1:64" ht="30" customHeight="1" thickBot="1">
      <c r="A105" s="1227"/>
      <c r="B105" s="1376"/>
      <c r="C105" s="1377"/>
      <c r="D105" s="1377"/>
      <c r="E105" s="1377"/>
      <c r="F105" s="1378"/>
      <c r="G105" s="1267"/>
      <c r="H105" s="1267"/>
      <c r="I105" s="1267"/>
      <c r="J105" s="1373"/>
      <c r="K105" s="1267"/>
      <c r="L105" s="1248"/>
      <c r="M105" s="1375"/>
      <c r="N105" s="650" t="str">
        <f>IF('別紙様式2-2（４・５月分）'!Q82="","",'別紙様式2-2（４・５月分）'!Q82)</f>
        <v/>
      </c>
      <c r="O105" s="1369"/>
      <c r="P105" s="1391"/>
      <c r="Q105" s="1387"/>
      <c r="R105" s="1389"/>
      <c r="S105" s="1395"/>
      <c r="T105" s="1460"/>
      <c r="U105" s="1462"/>
      <c r="V105" s="1464"/>
      <c r="W105" s="1466"/>
      <c r="X105" s="1509"/>
      <c r="Y105" s="1408"/>
      <c r="Z105" s="1509"/>
      <c r="AA105" s="1408"/>
      <c r="AB105" s="1509"/>
      <c r="AC105" s="1408"/>
      <c r="AD105" s="1509"/>
      <c r="AE105" s="1408"/>
      <c r="AF105" s="1408"/>
      <c r="AG105" s="1408"/>
      <c r="AH105" s="1410"/>
      <c r="AI105" s="1497"/>
      <c r="AJ105" s="1511"/>
      <c r="AK105" s="1495"/>
      <c r="AL105" s="1436"/>
      <c r="AM105" s="1499"/>
      <c r="AN105" s="1357"/>
      <c r="AO105" s="1357"/>
      <c r="AP105" s="1359"/>
      <c r="AQ105" s="1357"/>
      <c r="AR105" s="1345"/>
      <c r="AS105" s="1357"/>
      <c r="AT105" s="581" t="str">
        <f t="shared" ref="AT105" si="93">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51"/>
      <c r="AV105" s="1493"/>
      <c r="AW105" s="652" t="str">
        <f>IF('別紙様式2-2（４・５月分）'!O82="","",'別紙様式2-2（４・５月分）'!O82)</f>
        <v/>
      </c>
      <c r="AX105" s="1507"/>
      <c r="AY105" s="163"/>
      <c r="AZ105" s="163"/>
      <c r="BA105" s="163"/>
      <c r="BB105" s="163"/>
      <c r="BC105" s="163"/>
      <c r="BD105" s="163"/>
      <c r="BE105" s="163"/>
      <c r="BF105" s="163"/>
      <c r="BG105" s="163"/>
      <c r="BH105" s="163"/>
      <c r="BI105" s="163"/>
      <c r="BJ105" s="163"/>
      <c r="BK105" s="163"/>
      <c r="BL105" s="543" t="str">
        <f>G102</f>
        <v/>
      </c>
    </row>
    <row r="106" spans="1:64" ht="30" customHeight="1">
      <c r="A106" s="1241">
        <v>24</v>
      </c>
      <c r="B106" s="1271" t="str">
        <f>IF(基本情報入力シート!C77="","",基本情報入力シート!C77)</f>
        <v/>
      </c>
      <c r="C106" s="1259"/>
      <c r="D106" s="1259"/>
      <c r="E106" s="1259"/>
      <c r="F106" s="1260"/>
      <c r="G106" s="1265" t="str">
        <f>IF(基本情報入力シート!M77="","",基本情報入力シート!M77)</f>
        <v/>
      </c>
      <c r="H106" s="1265" t="str">
        <f>IF(基本情報入力シート!R77="","",基本情報入力シート!R77)</f>
        <v/>
      </c>
      <c r="I106" s="1265" t="str">
        <f>IF(基本情報入力シート!W77="","",基本情報入力シート!W77)</f>
        <v/>
      </c>
      <c r="J106" s="1379" t="str">
        <f>IF(基本情報入力シート!X77="","",基本情報入力シート!X77)</f>
        <v/>
      </c>
      <c r="K106" s="1265" t="str">
        <f>IF(基本情報入力シート!Y77="","",基本情報入力シート!Y77)</f>
        <v/>
      </c>
      <c r="L106" s="1246" t="str">
        <f>IF(基本情報入力シート!AB77="","",基本情報入力シート!AB77)</f>
        <v/>
      </c>
      <c r="M106" s="1249" t="str">
        <f>IF(基本情報入力シート!AC77="","",基本情報入力シート!AC77)</f>
        <v/>
      </c>
      <c r="N106" s="647" t="str">
        <f>IF('別紙様式2-2（４・５月分）'!Q83="","",'別紙様式2-2（４・５月分）'!Q83)</f>
        <v/>
      </c>
      <c r="O106" s="1366" t="str">
        <f>IF(SUM('別紙様式2-2（４・５月分）'!R83:R85)=0,"",SUM('別紙様式2-2（４・５月分）'!R83:R85))</f>
        <v/>
      </c>
      <c r="P106" s="1380" t="str">
        <f>IFERROR(VLOOKUP('別紙様式2-2（４・５月分）'!AR83,【参考】数式用!$AT$5:$AU$22,2,FALSE),"")</f>
        <v/>
      </c>
      <c r="Q106" s="1381"/>
      <c r="R106" s="1382"/>
      <c r="S106" s="1392" t="str">
        <f>IFERROR(VLOOKUP(K106,【参考】数式用!$A$5:$AB$27,MATCH(P106,【参考】数式用!$B$4:$AB$4,0)+1,0),"")</f>
        <v/>
      </c>
      <c r="T106" s="1413" t="s">
        <v>2173</v>
      </c>
      <c r="U106" s="1415"/>
      <c r="V106" s="1457" t="str">
        <f>IFERROR(VLOOKUP(K106,【参考】数式用!$A$5:$AB$27,MATCH(U106,【参考】数式用!$B$4:$AB$4,0)+1,0),"")</f>
        <v/>
      </c>
      <c r="W106" s="1350" t="s">
        <v>19</v>
      </c>
      <c r="X106" s="1352">
        <v>6</v>
      </c>
      <c r="Y106" s="1354" t="s">
        <v>10</v>
      </c>
      <c r="Z106" s="1352">
        <v>6</v>
      </c>
      <c r="AA106" s="1354" t="s">
        <v>45</v>
      </c>
      <c r="AB106" s="1352">
        <v>7</v>
      </c>
      <c r="AC106" s="1354" t="s">
        <v>10</v>
      </c>
      <c r="AD106" s="1352">
        <v>3</v>
      </c>
      <c r="AE106" s="1354" t="s">
        <v>13</v>
      </c>
      <c r="AF106" s="1354" t="s">
        <v>24</v>
      </c>
      <c r="AG106" s="1354">
        <f>IF(X106&gt;=1,(AB106*12+AD106)-(X106*12+Z106)+1,"")</f>
        <v>10</v>
      </c>
      <c r="AH106" s="1360" t="s">
        <v>38</v>
      </c>
      <c r="AI106" s="1481" t="str">
        <f>IFERROR(ROUNDDOWN(ROUND(L106*V106,0)*M106,0)*AG106,"")</f>
        <v/>
      </c>
      <c r="AJ106" s="1483" t="str">
        <f>IFERROR(ROUNDDOWN(ROUND((L106*(V106-AX106)),0)*M106,0)*AG106,"")</f>
        <v/>
      </c>
      <c r="AK106" s="1485">
        <f>IFERROR(IF(OR(N106="",N107="",N109=""),0,ROUNDDOWN(ROUNDDOWN(ROUND(L106*VLOOKUP(K106,【参考】数式用!$A$5:$AB$27,MATCH("新加算Ⅳ",【参考】数式用!$B$4:$AB$4,0)+1,0),0)*M106,0)*AG106*0.5,0)),"")</f>
        <v>0</v>
      </c>
      <c r="AL106" s="1433"/>
      <c r="AM106" s="1487">
        <f>IFERROR(IF(OR(N109="ベア加算",N109=""),0, IF(OR(U106="新加算Ⅰ",U106="新加算Ⅱ",U106="新加算Ⅲ",U106="新加算Ⅳ"),ROUNDDOWN(ROUND(L106*VLOOKUP(K106,【参考】数式用!$A$5:$I$27,MATCH("ベア加算",【参考】数式用!$B$4:$I$4,0)+1,0),0)*M106,0)*AG106,0)),"")</f>
        <v>0</v>
      </c>
      <c r="AN106" s="1502"/>
      <c r="AO106" s="1364"/>
      <c r="AP106" s="1403"/>
      <c r="AQ106" s="1403"/>
      <c r="AR106" s="1489"/>
      <c r="AS106" s="1491"/>
      <c r="AT106" s="556" t="str">
        <f t="shared" si="67"/>
        <v/>
      </c>
      <c r="AU106" s="651"/>
      <c r="AV106" s="1493" t="str">
        <f>IF(K106&lt;&gt;"","V列に色付け","")</f>
        <v/>
      </c>
      <c r="AW106" s="652" t="str">
        <f>IF('別紙様式2-2（４・５月分）'!O83="","",'別紙様式2-2（４・５月分）'!O83)</f>
        <v/>
      </c>
      <c r="AX106" s="1507" t="str">
        <f>IF(SUM('別紙様式2-2（４・５月分）'!P83:P85)=0,"",SUM('別紙様式2-2（４・５月分）'!P83:P85))</f>
        <v/>
      </c>
      <c r="AY106" s="1506" t="str">
        <f>IFERROR(VLOOKUP(K106,【参考】数式用!$AJ$2:$AK$24,2,FALSE),"")</f>
        <v/>
      </c>
      <c r="AZ106" s="1321" t="s">
        <v>2098</v>
      </c>
      <c r="BA106" s="1321" t="s">
        <v>2099</v>
      </c>
      <c r="BB106" s="1321" t="s">
        <v>2100</v>
      </c>
      <c r="BC106" s="1321" t="s">
        <v>2101</v>
      </c>
      <c r="BD106" s="1321" t="str">
        <f>IF(AND(P106&lt;&gt;"新加算Ⅰ",P106&lt;&gt;"新加算Ⅱ",P106&lt;&gt;"新加算Ⅲ",P106&lt;&gt;"新加算Ⅳ"),P106,IF(Q108&lt;&gt;"",Q108,""))</f>
        <v/>
      </c>
      <c r="BE106" s="1321"/>
      <c r="BF106" s="1321" t="str">
        <f t="shared" ref="BF106" si="94">IF(AM106&lt;&gt;0,IF(AN106="○","入力済","未入力"),"")</f>
        <v/>
      </c>
      <c r="BG106" s="1321"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321" t="str">
        <f>IF(OR(U106="新加算Ⅴ（７）",U106="新加算Ⅴ（９）",U106="新加算Ⅴ（10）",U106="新加算Ⅴ（12）",U106="新加算Ⅴ（13）",U106="新加算Ⅴ（14）"),IF(OR(AP106="○",AP106="令和６年度中に満たす"),"入力済","未入力"),"")</f>
        <v/>
      </c>
      <c r="BI106" s="1321" t="str">
        <f>IF(OR(U106="新加算Ⅰ",U106="新加算Ⅱ",U106="新加算Ⅲ",U106="新加算Ⅴ（１）",U106="新加算Ⅴ（３）",U106="新加算Ⅴ（８）"),IF(OR(AQ106="○",AQ106="令和６年度中に満たす"),"入力済","未入力"),"")</f>
        <v/>
      </c>
      <c r="BJ106" s="1512"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493" t="str">
        <f>IF(OR(U106="新加算Ⅰ",U106="新加算Ⅴ（１）",U106="新加算Ⅴ（２）",U106="新加算Ⅴ（５）",U106="新加算Ⅴ（７）",U106="新加算Ⅴ（10）"),IF(AS106="","未入力","入力済"),"")</f>
        <v/>
      </c>
      <c r="BL106" s="543" t="str">
        <f>G106</f>
        <v/>
      </c>
    </row>
    <row r="107" spans="1:64" ht="15" customHeight="1">
      <c r="A107" s="1226"/>
      <c r="B107" s="1272"/>
      <c r="C107" s="1261"/>
      <c r="D107" s="1261"/>
      <c r="E107" s="1261"/>
      <c r="F107" s="1262"/>
      <c r="G107" s="1266"/>
      <c r="H107" s="1266"/>
      <c r="I107" s="1266"/>
      <c r="J107" s="1372"/>
      <c r="K107" s="1266"/>
      <c r="L107" s="1247"/>
      <c r="M107" s="1250"/>
      <c r="N107" s="1370" t="str">
        <f>IF('別紙様式2-2（４・５月分）'!Q84="","",'別紙様式2-2（４・５月分）'!Q84)</f>
        <v/>
      </c>
      <c r="O107" s="1367"/>
      <c r="P107" s="1383"/>
      <c r="Q107" s="1384"/>
      <c r="R107" s="1385"/>
      <c r="S107" s="1393"/>
      <c r="T107" s="1414"/>
      <c r="U107" s="1416"/>
      <c r="V107" s="1458"/>
      <c r="W107" s="1351"/>
      <c r="X107" s="1353"/>
      <c r="Y107" s="1355"/>
      <c r="Z107" s="1353"/>
      <c r="AA107" s="1355"/>
      <c r="AB107" s="1353"/>
      <c r="AC107" s="1355"/>
      <c r="AD107" s="1353"/>
      <c r="AE107" s="1355"/>
      <c r="AF107" s="1355"/>
      <c r="AG107" s="1355"/>
      <c r="AH107" s="1361"/>
      <c r="AI107" s="1482"/>
      <c r="AJ107" s="1484"/>
      <c r="AK107" s="1486"/>
      <c r="AL107" s="1434"/>
      <c r="AM107" s="1488"/>
      <c r="AN107" s="1503"/>
      <c r="AO107" s="1365"/>
      <c r="AP107" s="1404"/>
      <c r="AQ107" s="1404"/>
      <c r="AR107" s="1490"/>
      <c r="AS107" s="1492"/>
      <c r="AT107" s="1331" t="str">
        <f t="shared" si="69"/>
        <v/>
      </c>
      <c r="AU107" s="651"/>
      <c r="AV107" s="1493"/>
      <c r="AW107" s="1518" t="str">
        <f>IF('別紙様式2-2（４・５月分）'!O84="","",'別紙様式2-2（４・５月分）'!O84)</f>
        <v/>
      </c>
      <c r="AX107" s="1507"/>
      <c r="AY107" s="1506"/>
      <c r="AZ107" s="1321"/>
      <c r="BA107" s="1321"/>
      <c r="BB107" s="1321"/>
      <c r="BC107" s="1321"/>
      <c r="BD107" s="1321"/>
      <c r="BE107" s="1321"/>
      <c r="BF107" s="1321"/>
      <c r="BG107" s="1321"/>
      <c r="BH107" s="1321"/>
      <c r="BI107" s="1321"/>
      <c r="BJ107" s="1512"/>
      <c r="BK107" s="1493"/>
      <c r="BL107" s="543" t="str">
        <f>G106</f>
        <v/>
      </c>
    </row>
    <row r="108" spans="1:64" ht="15" customHeight="1">
      <c r="A108" s="1240"/>
      <c r="B108" s="1272"/>
      <c r="C108" s="1261"/>
      <c r="D108" s="1261"/>
      <c r="E108" s="1261"/>
      <c r="F108" s="1262"/>
      <c r="G108" s="1266"/>
      <c r="H108" s="1266"/>
      <c r="I108" s="1266"/>
      <c r="J108" s="1372"/>
      <c r="K108" s="1266"/>
      <c r="L108" s="1247"/>
      <c r="M108" s="1250"/>
      <c r="N108" s="1371"/>
      <c r="O108" s="1368"/>
      <c r="P108" s="1390" t="s">
        <v>2179</v>
      </c>
      <c r="Q108" s="1386" t="str">
        <f>IFERROR(VLOOKUP('別紙様式2-2（４・５月分）'!AR83,【参考】数式用!$AT$5:$AV$22,3,FALSE),"")</f>
        <v/>
      </c>
      <c r="R108" s="1388" t="s">
        <v>2190</v>
      </c>
      <c r="S108" s="1396" t="str">
        <f>IFERROR(VLOOKUP(K106,【参考】数式用!$A$5:$AB$27,MATCH(Q108,【参考】数式用!$B$4:$AB$4,0)+1,0),"")</f>
        <v/>
      </c>
      <c r="T108" s="1459" t="s">
        <v>217</v>
      </c>
      <c r="U108" s="1461"/>
      <c r="V108" s="1463" t="str">
        <f>IFERROR(VLOOKUP(K106,【参考】数式用!$A$5:$AB$27,MATCH(U108,【参考】数式用!$B$4:$AB$4,0)+1,0),"")</f>
        <v/>
      </c>
      <c r="W108" s="1465" t="s">
        <v>19</v>
      </c>
      <c r="X108" s="1508">
        <v>7</v>
      </c>
      <c r="Y108" s="1407" t="s">
        <v>10</v>
      </c>
      <c r="Z108" s="1508">
        <v>4</v>
      </c>
      <c r="AA108" s="1407" t="s">
        <v>45</v>
      </c>
      <c r="AB108" s="1508">
        <v>8</v>
      </c>
      <c r="AC108" s="1407" t="s">
        <v>10</v>
      </c>
      <c r="AD108" s="1508">
        <v>3</v>
      </c>
      <c r="AE108" s="1407" t="s">
        <v>13</v>
      </c>
      <c r="AF108" s="1407" t="s">
        <v>24</v>
      </c>
      <c r="AG108" s="1407">
        <f>IF(X108&gt;=1,(AB108*12+AD108)-(X108*12+Z108)+1,"")</f>
        <v>12</v>
      </c>
      <c r="AH108" s="1409" t="s">
        <v>38</v>
      </c>
      <c r="AI108" s="1496" t="str">
        <f>IFERROR(ROUNDDOWN(ROUND(L106*V108,0)*M106,0)*AG108,"")</f>
        <v/>
      </c>
      <c r="AJ108" s="1510" t="str">
        <f>IFERROR(ROUNDDOWN(ROUND((L106*(V108-AX106)),0)*M106,0)*AG108,"")</f>
        <v/>
      </c>
      <c r="AK108" s="1494">
        <f>IFERROR(IF(OR(N106="",N107="",N109=""),0,ROUNDDOWN(ROUNDDOWN(ROUND(L106*VLOOKUP(K106,【参考】数式用!$A$5:$AB$27,MATCH("新加算Ⅳ",【参考】数式用!$B$4:$AB$4,0)+1,0),0)*M106,0)*AG108*0.5,0)),"")</f>
        <v>0</v>
      </c>
      <c r="AL108" s="1435" t="str">
        <f t="shared" ref="AL108" si="95">IF(U108&lt;&gt;"","新規に適用","")</f>
        <v/>
      </c>
      <c r="AM108" s="1498">
        <f>IFERROR(IF(OR(N109="ベア加算",N109=""),0, IF(OR(U106="新加算Ⅰ",U106="新加算Ⅱ",U106="新加算Ⅲ",U106="新加算Ⅳ"),0,ROUNDDOWN(ROUND(L106*VLOOKUP(K106,【参考】数式用!$A$5:$I$27,MATCH("ベア加算",【参考】数式用!$B$4:$I$4,0)+1,0),0)*M106,0)*AG108)),"")</f>
        <v>0</v>
      </c>
      <c r="AN108" s="1356" t="str">
        <f t="shared" ref="AN108" si="96">IF(AM108=0,"",IF(AND(U108&lt;&gt;"",AN106=""),"新規に適用",IF(AND(U108&lt;&gt;"",AN106&lt;&gt;""),"継続で適用","")))</f>
        <v/>
      </c>
      <c r="AO108" s="1356" t="str">
        <f>IF(AND(U108&lt;&gt;"",AO106=""),"新規に適用",IF(AND(U108&lt;&gt;"",AO106&lt;&gt;""),"継続で適用",""))</f>
        <v/>
      </c>
      <c r="AP108" s="1358"/>
      <c r="AQ108" s="1356" t="str">
        <f>IF(AND(U108&lt;&gt;"",AQ106=""),"新規に適用",IF(AND(U108&lt;&gt;"",AQ106&lt;&gt;""),"継続で適用",""))</f>
        <v/>
      </c>
      <c r="AR108" s="1344" t="str">
        <f t="shared" si="92"/>
        <v/>
      </c>
      <c r="AS108" s="1356" t="str">
        <f>IF(AND(U108&lt;&gt;"",AS106=""),"新規に適用",IF(AND(U108&lt;&gt;"",AS106&lt;&gt;""),"継続で適用",""))</f>
        <v/>
      </c>
      <c r="AT108" s="1331"/>
      <c r="AU108" s="651"/>
      <c r="AV108" s="1493" t="str">
        <f>IF(K106&lt;&gt;"","V列に色付け","")</f>
        <v/>
      </c>
      <c r="AW108" s="1518"/>
      <c r="AX108" s="1507"/>
      <c r="AY108" s="163"/>
      <c r="AZ108" s="163"/>
      <c r="BA108" s="163"/>
      <c r="BB108" s="163"/>
      <c r="BC108" s="163"/>
      <c r="BD108" s="163"/>
      <c r="BE108" s="163"/>
      <c r="BF108" s="163"/>
      <c r="BG108" s="163"/>
      <c r="BH108" s="163"/>
      <c r="BI108" s="163"/>
      <c r="BJ108" s="163"/>
      <c r="BK108" s="163"/>
      <c r="BL108" s="543" t="str">
        <f>G106</f>
        <v/>
      </c>
    </row>
    <row r="109" spans="1:64" ht="30" customHeight="1" thickBot="1">
      <c r="A109" s="1227"/>
      <c r="B109" s="1376"/>
      <c r="C109" s="1377"/>
      <c r="D109" s="1377"/>
      <c r="E109" s="1377"/>
      <c r="F109" s="1378"/>
      <c r="G109" s="1267"/>
      <c r="H109" s="1267"/>
      <c r="I109" s="1267"/>
      <c r="J109" s="1373"/>
      <c r="K109" s="1267"/>
      <c r="L109" s="1248"/>
      <c r="M109" s="1251"/>
      <c r="N109" s="650" t="str">
        <f>IF('別紙様式2-2（４・５月分）'!Q85="","",'別紙様式2-2（４・５月分）'!Q85)</f>
        <v/>
      </c>
      <c r="O109" s="1369"/>
      <c r="P109" s="1391"/>
      <c r="Q109" s="1387"/>
      <c r="R109" s="1389"/>
      <c r="S109" s="1395"/>
      <c r="T109" s="1460"/>
      <c r="U109" s="1462"/>
      <c r="V109" s="1464"/>
      <c r="W109" s="1466"/>
      <c r="X109" s="1509"/>
      <c r="Y109" s="1408"/>
      <c r="Z109" s="1509"/>
      <c r="AA109" s="1408"/>
      <c r="AB109" s="1509"/>
      <c r="AC109" s="1408"/>
      <c r="AD109" s="1509"/>
      <c r="AE109" s="1408"/>
      <c r="AF109" s="1408"/>
      <c r="AG109" s="1408"/>
      <c r="AH109" s="1410"/>
      <c r="AI109" s="1497"/>
      <c r="AJ109" s="1511"/>
      <c r="AK109" s="1495"/>
      <c r="AL109" s="1436"/>
      <c r="AM109" s="1499"/>
      <c r="AN109" s="1357"/>
      <c r="AO109" s="1357"/>
      <c r="AP109" s="1359"/>
      <c r="AQ109" s="1357"/>
      <c r="AR109" s="1345"/>
      <c r="AS109" s="1357"/>
      <c r="AT109" s="581" t="str">
        <f t="shared" ref="AT109" si="97">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51"/>
      <c r="AV109" s="1493"/>
      <c r="AW109" s="652" t="str">
        <f>IF('別紙様式2-2（４・５月分）'!O85="","",'別紙様式2-2（４・５月分）'!O85)</f>
        <v/>
      </c>
      <c r="AX109" s="1507"/>
      <c r="AY109" s="163"/>
      <c r="AZ109" s="163"/>
      <c r="BA109" s="163"/>
      <c r="BB109" s="163"/>
      <c r="BC109" s="163"/>
      <c r="BD109" s="163"/>
      <c r="BE109" s="163"/>
      <c r="BF109" s="163"/>
      <c r="BG109" s="163"/>
      <c r="BH109" s="163"/>
      <c r="BI109" s="163"/>
      <c r="BJ109" s="163"/>
      <c r="BK109" s="163"/>
      <c r="BL109" s="543" t="str">
        <f>G106</f>
        <v/>
      </c>
    </row>
    <row r="110" spans="1:64" ht="30" customHeight="1">
      <c r="A110" s="1225">
        <v>25</v>
      </c>
      <c r="B110" s="1272" t="str">
        <f>IF(基本情報入力シート!C78="","",基本情報入力シート!C78)</f>
        <v/>
      </c>
      <c r="C110" s="1261"/>
      <c r="D110" s="1261"/>
      <c r="E110" s="1261"/>
      <c r="F110" s="1262"/>
      <c r="G110" s="1266" t="str">
        <f>IF(基本情報入力シート!M78="","",基本情報入力シート!M78)</f>
        <v/>
      </c>
      <c r="H110" s="1266" t="str">
        <f>IF(基本情報入力シート!R78="","",基本情報入力シート!R78)</f>
        <v/>
      </c>
      <c r="I110" s="1266" t="str">
        <f>IF(基本情報入力シート!W78="","",基本情報入力シート!W78)</f>
        <v/>
      </c>
      <c r="J110" s="1372" t="str">
        <f>IF(基本情報入力シート!X78="","",基本情報入力シート!X78)</f>
        <v/>
      </c>
      <c r="K110" s="1266" t="str">
        <f>IF(基本情報入力シート!Y78="","",基本情報入力シート!Y78)</f>
        <v/>
      </c>
      <c r="L110" s="1247" t="str">
        <f>IF(基本情報入力シート!AB78="","",基本情報入力シート!AB78)</f>
        <v/>
      </c>
      <c r="M110" s="1374" t="str">
        <f>IF(基本情報入力シート!AC78="","",基本情報入力シート!AC78)</f>
        <v/>
      </c>
      <c r="N110" s="647" t="str">
        <f>IF('別紙様式2-2（４・５月分）'!Q86="","",'別紙様式2-2（４・５月分）'!Q86)</f>
        <v/>
      </c>
      <c r="O110" s="1366" t="str">
        <f>IF(SUM('別紙様式2-2（４・５月分）'!R86:R88)=0,"",SUM('別紙様式2-2（４・５月分）'!R86:R88))</f>
        <v/>
      </c>
      <c r="P110" s="1380" t="str">
        <f>IFERROR(VLOOKUP('別紙様式2-2（４・５月分）'!AR86,【参考】数式用!$AT$5:$AU$22,2,FALSE),"")</f>
        <v/>
      </c>
      <c r="Q110" s="1381"/>
      <c r="R110" s="1382"/>
      <c r="S110" s="1392" t="str">
        <f>IFERROR(VLOOKUP(K110,【参考】数式用!$A$5:$AB$27,MATCH(P110,【参考】数式用!$B$4:$AB$4,0)+1,0),"")</f>
        <v/>
      </c>
      <c r="T110" s="1413" t="s">
        <v>2173</v>
      </c>
      <c r="U110" s="1415"/>
      <c r="V110" s="1457" t="str">
        <f>IFERROR(VLOOKUP(K110,【参考】数式用!$A$5:$AB$27,MATCH(U110,【参考】数式用!$B$4:$AB$4,0)+1,0),"")</f>
        <v/>
      </c>
      <c r="W110" s="1350" t="s">
        <v>19</v>
      </c>
      <c r="X110" s="1352">
        <v>6</v>
      </c>
      <c r="Y110" s="1354" t="s">
        <v>10</v>
      </c>
      <c r="Z110" s="1352">
        <v>6</v>
      </c>
      <c r="AA110" s="1354" t="s">
        <v>45</v>
      </c>
      <c r="AB110" s="1352">
        <v>7</v>
      </c>
      <c r="AC110" s="1354" t="s">
        <v>10</v>
      </c>
      <c r="AD110" s="1352">
        <v>3</v>
      </c>
      <c r="AE110" s="1354" t="s">
        <v>13</v>
      </c>
      <c r="AF110" s="1354" t="s">
        <v>24</v>
      </c>
      <c r="AG110" s="1354">
        <f>IF(X110&gt;=1,(AB110*12+AD110)-(X110*12+Z110)+1,"")</f>
        <v>10</v>
      </c>
      <c r="AH110" s="1360" t="s">
        <v>38</v>
      </c>
      <c r="AI110" s="1481" t="str">
        <f>IFERROR(ROUNDDOWN(ROUND(L110*V110,0)*M110,0)*AG110,"")</f>
        <v/>
      </c>
      <c r="AJ110" s="1483" t="str">
        <f>IFERROR(ROUNDDOWN(ROUND((L110*(V110-AX110)),0)*M110,0)*AG110,"")</f>
        <v/>
      </c>
      <c r="AK110" s="1485">
        <f>IFERROR(IF(OR(N110="",N111="",N113=""),0,ROUNDDOWN(ROUNDDOWN(ROUND(L110*VLOOKUP(K110,【参考】数式用!$A$5:$AB$27,MATCH("新加算Ⅳ",【参考】数式用!$B$4:$AB$4,0)+1,0),0)*M110,0)*AG110*0.5,0)),"")</f>
        <v>0</v>
      </c>
      <c r="AL110" s="1433"/>
      <c r="AM110" s="1487">
        <f>IFERROR(IF(OR(N113="ベア加算",N113=""),0, IF(OR(U110="新加算Ⅰ",U110="新加算Ⅱ",U110="新加算Ⅲ",U110="新加算Ⅳ"),ROUNDDOWN(ROUND(L110*VLOOKUP(K110,【参考】数式用!$A$5:$I$27,MATCH("ベア加算",【参考】数式用!$B$4:$I$4,0)+1,0),0)*M110,0)*AG110,0)),"")</f>
        <v>0</v>
      </c>
      <c r="AN110" s="1502"/>
      <c r="AO110" s="1364"/>
      <c r="AP110" s="1403"/>
      <c r="AQ110" s="1403"/>
      <c r="AR110" s="1489"/>
      <c r="AS110" s="1491"/>
      <c r="AT110" s="556" t="str">
        <f t="shared" si="67"/>
        <v/>
      </c>
      <c r="AU110" s="651"/>
      <c r="AV110" s="1493" t="str">
        <f>IF(K110&lt;&gt;"","V列に色付け","")</f>
        <v/>
      </c>
      <c r="AW110" s="652" t="str">
        <f>IF('別紙様式2-2（４・５月分）'!O86="","",'別紙様式2-2（４・５月分）'!O86)</f>
        <v/>
      </c>
      <c r="AX110" s="1507" t="str">
        <f>IF(SUM('別紙様式2-2（４・５月分）'!P86:P88)=0,"",SUM('別紙様式2-2（４・５月分）'!P86:P88))</f>
        <v/>
      </c>
      <c r="AY110" s="1506" t="str">
        <f>IFERROR(VLOOKUP(K110,【参考】数式用!$AJ$2:$AK$24,2,FALSE),"")</f>
        <v/>
      </c>
      <c r="AZ110" s="1321" t="s">
        <v>2098</v>
      </c>
      <c r="BA110" s="1321" t="s">
        <v>2099</v>
      </c>
      <c r="BB110" s="1321" t="s">
        <v>2100</v>
      </c>
      <c r="BC110" s="1321" t="s">
        <v>2101</v>
      </c>
      <c r="BD110" s="1321" t="str">
        <f>IF(AND(P110&lt;&gt;"新加算Ⅰ",P110&lt;&gt;"新加算Ⅱ",P110&lt;&gt;"新加算Ⅲ",P110&lt;&gt;"新加算Ⅳ"),P110,IF(Q112&lt;&gt;"",Q112,""))</f>
        <v/>
      </c>
      <c r="BE110" s="1321"/>
      <c r="BF110" s="1321" t="str">
        <f t="shared" ref="BF110" si="98">IF(AM110&lt;&gt;0,IF(AN110="○","入力済","未入力"),"")</f>
        <v/>
      </c>
      <c r="BG110" s="1321"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321" t="str">
        <f>IF(OR(U110="新加算Ⅴ（７）",U110="新加算Ⅴ（９）",U110="新加算Ⅴ（10）",U110="新加算Ⅴ（12）",U110="新加算Ⅴ（13）",U110="新加算Ⅴ（14）"),IF(OR(AP110="○",AP110="令和６年度中に満たす"),"入力済","未入力"),"")</f>
        <v/>
      </c>
      <c r="BI110" s="1321" t="str">
        <f>IF(OR(U110="新加算Ⅰ",U110="新加算Ⅱ",U110="新加算Ⅲ",U110="新加算Ⅴ（１）",U110="新加算Ⅴ（３）",U110="新加算Ⅴ（８）"),IF(OR(AQ110="○",AQ110="令和６年度中に満たす"),"入力済","未入力"),"")</f>
        <v/>
      </c>
      <c r="BJ110" s="1512"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493" t="str">
        <f>IF(OR(U110="新加算Ⅰ",U110="新加算Ⅴ（１）",U110="新加算Ⅴ（２）",U110="新加算Ⅴ（５）",U110="新加算Ⅴ（７）",U110="新加算Ⅴ（10）"),IF(AS110="","未入力","入力済"),"")</f>
        <v/>
      </c>
      <c r="BL110" s="543" t="str">
        <f>G110</f>
        <v/>
      </c>
    </row>
    <row r="111" spans="1:64" ht="15" customHeight="1">
      <c r="A111" s="1226"/>
      <c r="B111" s="1272"/>
      <c r="C111" s="1261"/>
      <c r="D111" s="1261"/>
      <c r="E111" s="1261"/>
      <c r="F111" s="1262"/>
      <c r="G111" s="1266"/>
      <c r="H111" s="1266"/>
      <c r="I111" s="1266"/>
      <c r="J111" s="1372"/>
      <c r="K111" s="1266"/>
      <c r="L111" s="1247"/>
      <c r="M111" s="1374"/>
      <c r="N111" s="1370" t="str">
        <f>IF('別紙様式2-2（４・５月分）'!Q87="","",'別紙様式2-2（４・５月分）'!Q87)</f>
        <v/>
      </c>
      <c r="O111" s="1367"/>
      <c r="P111" s="1383"/>
      <c r="Q111" s="1384"/>
      <c r="R111" s="1385"/>
      <c r="S111" s="1393"/>
      <c r="T111" s="1414"/>
      <c r="U111" s="1416"/>
      <c r="V111" s="1458"/>
      <c r="W111" s="1351"/>
      <c r="X111" s="1353"/>
      <c r="Y111" s="1355"/>
      <c r="Z111" s="1353"/>
      <c r="AA111" s="1355"/>
      <c r="AB111" s="1353"/>
      <c r="AC111" s="1355"/>
      <c r="AD111" s="1353"/>
      <c r="AE111" s="1355"/>
      <c r="AF111" s="1355"/>
      <c r="AG111" s="1355"/>
      <c r="AH111" s="1361"/>
      <c r="AI111" s="1482"/>
      <c r="AJ111" s="1484"/>
      <c r="AK111" s="1486"/>
      <c r="AL111" s="1434"/>
      <c r="AM111" s="1488"/>
      <c r="AN111" s="1503"/>
      <c r="AO111" s="1365"/>
      <c r="AP111" s="1404"/>
      <c r="AQ111" s="1404"/>
      <c r="AR111" s="1490"/>
      <c r="AS111" s="1492"/>
      <c r="AT111" s="1331" t="str">
        <f t="shared" si="69"/>
        <v/>
      </c>
      <c r="AU111" s="651"/>
      <c r="AV111" s="1493"/>
      <c r="AW111" s="1518" t="str">
        <f>IF('別紙様式2-2（４・５月分）'!O87="","",'別紙様式2-2（４・５月分）'!O87)</f>
        <v/>
      </c>
      <c r="AX111" s="1507"/>
      <c r="AY111" s="1506"/>
      <c r="AZ111" s="1321"/>
      <c r="BA111" s="1321"/>
      <c r="BB111" s="1321"/>
      <c r="BC111" s="1321"/>
      <c r="BD111" s="1321"/>
      <c r="BE111" s="1321"/>
      <c r="BF111" s="1321"/>
      <c r="BG111" s="1321"/>
      <c r="BH111" s="1321"/>
      <c r="BI111" s="1321"/>
      <c r="BJ111" s="1512"/>
      <c r="BK111" s="1493"/>
      <c r="BL111" s="543" t="str">
        <f>G110</f>
        <v/>
      </c>
    </row>
    <row r="112" spans="1:64" ht="15" customHeight="1">
      <c r="A112" s="1240"/>
      <c r="B112" s="1272"/>
      <c r="C112" s="1261"/>
      <c r="D112" s="1261"/>
      <c r="E112" s="1261"/>
      <c r="F112" s="1262"/>
      <c r="G112" s="1266"/>
      <c r="H112" s="1266"/>
      <c r="I112" s="1266"/>
      <c r="J112" s="1372"/>
      <c r="K112" s="1266"/>
      <c r="L112" s="1247"/>
      <c r="M112" s="1374"/>
      <c r="N112" s="1371"/>
      <c r="O112" s="1368"/>
      <c r="P112" s="1390" t="s">
        <v>2179</v>
      </c>
      <c r="Q112" s="1386" t="str">
        <f>IFERROR(VLOOKUP('別紙様式2-2（４・５月分）'!AR86,【参考】数式用!$AT$5:$AV$22,3,FALSE),"")</f>
        <v/>
      </c>
      <c r="R112" s="1388" t="s">
        <v>2190</v>
      </c>
      <c r="S112" s="1394" t="str">
        <f>IFERROR(VLOOKUP(K110,【参考】数式用!$A$5:$AB$27,MATCH(Q112,【参考】数式用!$B$4:$AB$4,0)+1,0),"")</f>
        <v/>
      </c>
      <c r="T112" s="1459" t="s">
        <v>217</v>
      </c>
      <c r="U112" s="1461"/>
      <c r="V112" s="1463" t="str">
        <f>IFERROR(VLOOKUP(K110,【参考】数式用!$A$5:$AB$27,MATCH(U112,【参考】数式用!$B$4:$AB$4,0)+1,0),"")</f>
        <v/>
      </c>
      <c r="W112" s="1465" t="s">
        <v>19</v>
      </c>
      <c r="X112" s="1508">
        <v>7</v>
      </c>
      <c r="Y112" s="1407" t="s">
        <v>10</v>
      </c>
      <c r="Z112" s="1508">
        <v>4</v>
      </c>
      <c r="AA112" s="1407" t="s">
        <v>45</v>
      </c>
      <c r="AB112" s="1508">
        <v>8</v>
      </c>
      <c r="AC112" s="1407" t="s">
        <v>10</v>
      </c>
      <c r="AD112" s="1508">
        <v>3</v>
      </c>
      <c r="AE112" s="1407" t="s">
        <v>13</v>
      </c>
      <c r="AF112" s="1407" t="s">
        <v>24</v>
      </c>
      <c r="AG112" s="1407">
        <f>IF(X112&gt;=1,(AB112*12+AD112)-(X112*12+Z112)+1,"")</f>
        <v>12</v>
      </c>
      <c r="AH112" s="1409" t="s">
        <v>38</v>
      </c>
      <c r="AI112" s="1496" t="str">
        <f>IFERROR(ROUNDDOWN(ROUND(L110*V112,0)*M110,0)*AG112,"")</f>
        <v/>
      </c>
      <c r="AJ112" s="1510" t="str">
        <f>IFERROR(ROUNDDOWN(ROUND((L110*(V112-AX110)),0)*M110,0)*AG112,"")</f>
        <v/>
      </c>
      <c r="AK112" s="1494">
        <f>IFERROR(IF(OR(N110="",N111="",N113=""),0,ROUNDDOWN(ROUNDDOWN(ROUND(L110*VLOOKUP(K110,【参考】数式用!$A$5:$AB$27,MATCH("新加算Ⅳ",【参考】数式用!$B$4:$AB$4,0)+1,0),0)*M110,0)*AG112*0.5,0)),"")</f>
        <v>0</v>
      </c>
      <c r="AL112" s="1435" t="str">
        <f t="shared" ref="AL112" si="99">IF(U112&lt;&gt;"","新規に適用","")</f>
        <v/>
      </c>
      <c r="AM112" s="1498">
        <f>IFERROR(IF(OR(N113="ベア加算",N113=""),0, IF(OR(U110="新加算Ⅰ",U110="新加算Ⅱ",U110="新加算Ⅲ",U110="新加算Ⅳ"),0,ROUNDDOWN(ROUND(L110*VLOOKUP(K110,【参考】数式用!$A$5:$I$27,MATCH("ベア加算",【参考】数式用!$B$4:$I$4,0)+1,0),0)*M110,0)*AG112)),"")</f>
        <v>0</v>
      </c>
      <c r="AN112" s="1356" t="str">
        <f t="shared" ref="AN112" si="100">IF(AM112=0,"",IF(AND(U112&lt;&gt;"",AN110=""),"新規に適用",IF(AND(U112&lt;&gt;"",AN110&lt;&gt;""),"継続で適用","")))</f>
        <v/>
      </c>
      <c r="AO112" s="1356" t="str">
        <f>IF(AND(U112&lt;&gt;"",AO110=""),"新規に適用",IF(AND(U112&lt;&gt;"",AO110&lt;&gt;""),"継続で適用",""))</f>
        <v/>
      </c>
      <c r="AP112" s="1358"/>
      <c r="AQ112" s="1356" t="str">
        <f>IF(AND(U112&lt;&gt;"",AQ110=""),"新規に適用",IF(AND(U112&lt;&gt;"",AQ110&lt;&gt;""),"継続で適用",""))</f>
        <v/>
      </c>
      <c r="AR112" s="1344" t="str">
        <f t="shared" si="92"/>
        <v/>
      </c>
      <c r="AS112" s="1356" t="str">
        <f>IF(AND(U112&lt;&gt;"",AS110=""),"新規に適用",IF(AND(U112&lt;&gt;"",AS110&lt;&gt;""),"継続で適用",""))</f>
        <v/>
      </c>
      <c r="AT112" s="1331"/>
      <c r="AU112" s="651"/>
      <c r="AV112" s="1493" t="str">
        <f>IF(K110&lt;&gt;"","V列に色付け","")</f>
        <v/>
      </c>
      <c r="AW112" s="1518"/>
      <c r="AX112" s="1507"/>
      <c r="AY112" s="163"/>
      <c r="AZ112" s="163"/>
      <c r="BA112" s="163"/>
      <c r="BB112" s="163"/>
      <c r="BC112" s="163"/>
      <c r="BD112" s="163"/>
      <c r="BE112" s="163"/>
      <c r="BF112" s="163"/>
      <c r="BG112" s="163"/>
      <c r="BH112" s="163"/>
      <c r="BI112" s="163"/>
      <c r="BJ112" s="163"/>
      <c r="BK112" s="163"/>
      <c r="BL112" s="543" t="str">
        <f>G110</f>
        <v/>
      </c>
    </row>
    <row r="113" spans="1:64" ht="30" customHeight="1" thickBot="1">
      <c r="A113" s="1227"/>
      <c r="B113" s="1376"/>
      <c r="C113" s="1377"/>
      <c r="D113" s="1377"/>
      <c r="E113" s="1377"/>
      <c r="F113" s="1378"/>
      <c r="G113" s="1267"/>
      <c r="H113" s="1267"/>
      <c r="I113" s="1267"/>
      <c r="J113" s="1373"/>
      <c r="K113" s="1267"/>
      <c r="L113" s="1248"/>
      <c r="M113" s="1375"/>
      <c r="N113" s="650" t="str">
        <f>IF('別紙様式2-2（４・５月分）'!Q88="","",'別紙様式2-2（４・５月分）'!Q88)</f>
        <v/>
      </c>
      <c r="O113" s="1369"/>
      <c r="P113" s="1391"/>
      <c r="Q113" s="1387"/>
      <c r="R113" s="1389"/>
      <c r="S113" s="1395"/>
      <c r="T113" s="1460"/>
      <c r="U113" s="1462"/>
      <c r="V113" s="1464"/>
      <c r="W113" s="1466"/>
      <c r="X113" s="1509"/>
      <c r="Y113" s="1408"/>
      <c r="Z113" s="1509"/>
      <c r="AA113" s="1408"/>
      <c r="AB113" s="1509"/>
      <c r="AC113" s="1408"/>
      <c r="AD113" s="1509"/>
      <c r="AE113" s="1408"/>
      <c r="AF113" s="1408"/>
      <c r="AG113" s="1408"/>
      <c r="AH113" s="1410"/>
      <c r="AI113" s="1497"/>
      <c r="AJ113" s="1511"/>
      <c r="AK113" s="1495"/>
      <c r="AL113" s="1436"/>
      <c r="AM113" s="1499"/>
      <c r="AN113" s="1357"/>
      <c r="AO113" s="1357"/>
      <c r="AP113" s="1359"/>
      <c r="AQ113" s="1357"/>
      <c r="AR113" s="1345"/>
      <c r="AS113" s="1357"/>
      <c r="AT113" s="581" t="str">
        <f t="shared" ref="AT113" si="101">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51"/>
      <c r="AV113" s="1493"/>
      <c r="AW113" s="652" t="str">
        <f>IF('別紙様式2-2（４・５月分）'!O88="","",'別紙様式2-2（４・５月分）'!O88)</f>
        <v/>
      </c>
      <c r="AX113" s="1507"/>
      <c r="AY113" s="163"/>
      <c r="AZ113" s="163"/>
      <c r="BA113" s="163"/>
      <c r="BB113" s="163"/>
      <c r="BC113" s="163"/>
      <c r="BD113" s="163"/>
      <c r="BE113" s="163"/>
      <c r="BF113" s="163"/>
      <c r="BG113" s="163"/>
      <c r="BH113" s="163"/>
      <c r="BI113" s="163"/>
      <c r="BJ113" s="163"/>
      <c r="BK113" s="163"/>
      <c r="BL113" s="543" t="str">
        <f>G110</f>
        <v/>
      </c>
    </row>
    <row r="114" spans="1:64" ht="30" customHeight="1">
      <c r="A114" s="1241">
        <v>26</v>
      </c>
      <c r="B114" s="1271" t="str">
        <f>IF(基本情報入力シート!C79="","",基本情報入力シート!C79)</f>
        <v/>
      </c>
      <c r="C114" s="1259"/>
      <c r="D114" s="1259"/>
      <c r="E114" s="1259"/>
      <c r="F114" s="1260"/>
      <c r="G114" s="1265" t="str">
        <f>IF(基本情報入力シート!M79="","",基本情報入力シート!M79)</f>
        <v/>
      </c>
      <c r="H114" s="1265" t="str">
        <f>IF(基本情報入力シート!R79="","",基本情報入力シート!R79)</f>
        <v/>
      </c>
      <c r="I114" s="1265" t="str">
        <f>IF(基本情報入力シート!W79="","",基本情報入力シート!W79)</f>
        <v/>
      </c>
      <c r="J114" s="1379" t="str">
        <f>IF(基本情報入力シート!X79="","",基本情報入力シート!X79)</f>
        <v/>
      </c>
      <c r="K114" s="1265" t="str">
        <f>IF(基本情報入力シート!Y79="","",基本情報入力シート!Y79)</f>
        <v/>
      </c>
      <c r="L114" s="1246" t="str">
        <f>IF(基本情報入力シート!AB79="","",基本情報入力シート!AB79)</f>
        <v/>
      </c>
      <c r="M114" s="1249" t="str">
        <f>IF(基本情報入力シート!AC79="","",基本情報入力シート!AC79)</f>
        <v/>
      </c>
      <c r="N114" s="647" t="str">
        <f>IF('別紙様式2-2（４・５月分）'!Q89="","",'別紙様式2-2（４・５月分）'!Q89)</f>
        <v/>
      </c>
      <c r="O114" s="1366" t="str">
        <f>IF(SUM('別紙様式2-2（４・５月分）'!R89:R91)=0,"",SUM('別紙様式2-2（４・５月分）'!R89:R91))</f>
        <v/>
      </c>
      <c r="P114" s="1380" t="str">
        <f>IFERROR(VLOOKUP('別紙様式2-2（４・５月分）'!AR89,【参考】数式用!$AT$5:$AU$22,2,FALSE),"")</f>
        <v/>
      </c>
      <c r="Q114" s="1381"/>
      <c r="R114" s="1382"/>
      <c r="S114" s="1392" t="str">
        <f>IFERROR(VLOOKUP(K114,【参考】数式用!$A$5:$AB$27,MATCH(P114,【参考】数式用!$B$4:$AB$4,0)+1,0),"")</f>
        <v/>
      </c>
      <c r="T114" s="1413" t="s">
        <v>2173</v>
      </c>
      <c r="U114" s="1415"/>
      <c r="V114" s="1457" t="str">
        <f>IFERROR(VLOOKUP(K114,【参考】数式用!$A$5:$AB$27,MATCH(U114,【参考】数式用!$B$4:$AB$4,0)+1,0),"")</f>
        <v/>
      </c>
      <c r="W114" s="1350" t="s">
        <v>19</v>
      </c>
      <c r="X114" s="1352">
        <v>6</v>
      </c>
      <c r="Y114" s="1354" t="s">
        <v>10</v>
      </c>
      <c r="Z114" s="1352">
        <v>6</v>
      </c>
      <c r="AA114" s="1354" t="s">
        <v>45</v>
      </c>
      <c r="AB114" s="1352">
        <v>7</v>
      </c>
      <c r="AC114" s="1354" t="s">
        <v>10</v>
      </c>
      <c r="AD114" s="1352">
        <v>3</v>
      </c>
      <c r="AE114" s="1354" t="s">
        <v>13</v>
      </c>
      <c r="AF114" s="1354" t="s">
        <v>24</v>
      </c>
      <c r="AG114" s="1354">
        <f>IF(X114&gt;=1,(AB114*12+AD114)-(X114*12+Z114)+1,"")</f>
        <v>10</v>
      </c>
      <c r="AH114" s="1360" t="s">
        <v>38</v>
      </c>
      <c r="AI114" s="1481" t="str">
        <f>IFERROR(ROUNDDOWN(ROUND(L114*V114,0)*M114,0)*AG114,"")</f>
        <v/>
      </c>
      <c r="AJ114" s="1483" t="str">
        <f>IFERROR(ROUNDDOWN(ROUND((L114*(V114-AX114)),0)*M114,0)*AG114,"")</f>
        <v/>
      </c>
      <c r="AK114" s="1485">
        <f>IFERROR(IF(OR(N114="",N115="",N117=""),0,ROUNDDOWN(ROUNDDOWN(ROUND(L114*VLOOKUP(K114,【参考】数式用!$A$5:$AB$27,MATCH("新加算Ⅳ",【参考】数式用!$B$4:$AB$4,0)+1,0),0)*M114,0)*AG114*0.5,0)),"")</f>
        <v>0</v>
      </c>
      <c r="AL114" s="1433"/>
      <c r="AM114" s="1487">
        <f>IFERROR(IF(OR(N117="ベア加算",N117=""),0, IF(OR(U114="新加算Ⅰ",U114="新加算Ⅱ",U114="新加算Ⅲ",U114="新加算Ⅳ"),ROUNDDOWN(ROUND(L114*VLOOKUP(K114,【参考】数式用!$A$5:$I$27,MATCH("ベア加算",【参考】数式用!$B$4:$I$4,0)+1,0),0)*M114,0)*AG114,0)),"")</f>
        <v>0</v>
      </c>
      <c r="AN114" s="1502"/>
      <c r="AO114" s="1364"/>
      <c r="AP114" s="1403"/>
      <c r="AQ114" s="1403"/>
      <c r="AR114" s="1489"/>
      <c r="AS114" s="1491"/>
      <c r="AT114" s="556" t="str">
        <f t="shared" si="67"/>
        <v/>
      </c>
      <c r="AU114" s="651"/>
      <c r="AV114" s="1493" t="str">
        <f>IF(K114&lt;&gt;"","V列に色付け","")</f>
        <v/>
      </c>
      <c r="AW114" s="652" t="str">
        <f>IF('別紙様式2-2（４・５月分）'!O89="","",'別紙様式2-2（４・５月分）'!O89)</f>
        <v/>
      </c>
      <c r="AX114" s="1507" t="str">
        <f>IF(SUM('別紙様式2-2（４・５月分）'!P89:P91)=0,"",SUM('別紙様式2-2（４・５月分）'!P89:P91))</f>
        <v/>
      </c>
      <c r="AY114" s="1506" t="str">
        <f>IFERROR(VLOOKUP(K114,【参考】数式用!$AJ$2:$AK$24,2,FALSE),"")</f>
        <v/>
      </c>
      <c r="AZ114" s="1321" t="s">
        <v>2098</v>
      </c>
      <c r="BA114" s="1321" t="s">
        <v>2099</v>
      </c>
      <c r="BB114" s="1321" t="s">
        <v>2100</v>
      </c>
      <c r="BC114" s="1321" t="s">
        <v>2101</v>
      </c>
      <c r="BD114" s="1321" t="str">
        <f>IF(AND(P114&lt;&gt;"新加算Ⅰ",P114&lt;&gt;"新加算Ⅱ",P114&lt;&gt;"新加算Ⅲ",P114&lt;&gt;"新加算Ⅳ"),P114,IF(Q116&lt;&gt;"",Q116,""))</f>
        <v/>
      </c>
      <c r="BE114" s="1321"/>
      <c r="BF114" s="1321" t="str">
        <f t="shared" ref="BF114" si="102">IF(AM114&lt;&gt;0,IF(AN114="○","入力済","未入力"),"")</f>
        <v/>
      </c>
      <c r="BG114" s="1321"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321" t="str">
        <f>IF(OR(U114="新加算Ⅴ（７）",U114="新加算Ⅴ（９）",U114="新加算Ⅴ（10）",U114="新加算Ⅴ（12）",U114="新加算Ⅴ（13）",U114="新加算Ⅴ（14）"),IF(OR(AP114="○",AP114="令和６年度中に満たす"),"入力済","未入力"),"")</f>
        <v/>
      </c>
      <c r="BI114" s="1321" t="str">
        <f>IF(OR(U114="新加算Ⅰ",U114="新加算Ⅱ",U114="新加算Ⅲ",U114="新加算Ⅴ（１）",U114="新加算Ⅴ（３）",U114="新加算Ⅴ（８）"),IF(OR(AQ114="○",AQ114="令和６年度中に満たす"),"入力済","未入力"),"")</f>
        <v/>
      </c>
      <c r="BJ114" s="1512"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493" t="str">
        <f>IF(OR(U114="新加算Ⅰ",U114="新加算Ⅴ（１）",U114="新加算Ⅴ（２）",U114="新加算Ⅴ（５）",U114="新加算Ⅴ（７）",U114="新加算Ⅴ（10）"),IF(AS114="","未入力","入力済"),"")</f>
        <v/>
      </c>
      <c r="BL114" s="543" t="str">
        <f>G114</f>
        <v/>
      </c>
    </row>
    <row r="115" spans="1:64" ht="15" customHeight="1">
      <c r="A115" s="1226"/>
      <c r="B115" s="1272"/>
      <c r="C115" s="1261"/>
      <c r="D115" s="1261"/>
      <c r="E115" s="1261"/>
      <c r="F115" s="1262"/>
      <c r="G115" s="1266"/>
      <c r="H115" s="1266"/>
      <c r="I115" s="1266"/>
      <c r="J115" s="1372"/>
      <c r="K115" s="1266"/>
      <c r="L115" s="1247"/>
      <c r="M115" s="1250"/>
      <c r="N115" s="1370" t="str">
        <f>IF('別紙様式2-2（４・５月分）'!Q90="","",'別紙様式2-2（４・５月分）'!Q90)</f>
        <v/>
      </c>
      <c r="O115" s="1367"/>
      <c r="P115" s="1383"/>
      <c r="Q115" s="1384"/>
      <c r="R115" s="1385"/>
      <c r="S115" s="1393"/>
      <c r="T115" s="1414"/>
      <c r="U115" s="1416"/>
      <c r="V115" s="1458"/>
      <c r="W115" s="1351"/>
      <c r="X115" s="1353"/>
      <c r="Y115" s="1355"/>
      <c r="Z115" s="1353"/>
      <c r="AA115" s="1355"/>
      <c r="AB115" s="1353"/>
      <c r="AC115" s="1355"/>
      <c r="AD115" s="1353"/>
      <c r="AE115" s="1355"/>
      <c r="AF115" s="1355"/>
      <c r="AG115" s="1355"/>
      <c r="AH115" s="1361"/>
      <c r="AI115" s="1482"/>
      <c r="AJ115" s="1484"/>
      <c r="AK115" s="1486"/>
      <c r="AL115" s="1434"/>
      <c r="AM115" s="1488"/>
      <c r="AN115" s="1503"/>
      <c r="AO115" s="1365"/>
      <c r="AP115" s="1404"/>
      <c r="AQ115" s="1404"/>
      <c r="AR115" s="1490"/>
      <c r="AS115" s="1492"/>
      <c r="AT115" s="1331" t="str">
        <f t="shared" si="69"/>
        <v/>
      </c>
      <c r="AU115" s="651"/>
      <c r="AV115" s="1493"/>
      <c r="AW115" s="1518" t="str">
        <f>IF('別紙様式2-2（４・５月分）'!O90="","",'別紙様式2-2（４・５月分）'!O90)</f>
        <v/>
      </c>
      <c r="AX115" s="1507"/>
      <c r="AY115" s="1506"/>
      <c r="AZ115" s="1321"/>
      <c r="BA115" s="1321"/>
      <c r="BB115" s="1321"/>
      <c r="BC115" s="1321"/>
      <c r="BD115" s="1321"/>
      <c r="BE115" s="1321"/>
      <c r="BF115" s="1321"/>
      <c r="BG115" s="1321"/>
      <c r="BH115" s="1321"/>
      <c r="BI115" s="1321"/>
      <c r="BJ115" s="1512"/>
      <c r="BK115" s="1493"/>
      <c r="BL115" s="543" t="str">
        <f>G114</f>
        <v/>
      </c>
    </row>
    <row r="116" spans="1:64" ht="15" customHeight="1">
      <c r="A116" s="1240"/>
      <c r="B116" s="1272"/>
      <c r="C116" s="1261"/>
      <c r="D116" s="1261"/>
      <c r="E116" s="1261"/>
      <c r="F116" s="1262"/>
      <c r="G116" s="1266"/>
      <c r="H116" s="1266"/>
      <c r="I116" s="1266"/>
      <c r="J116" s="1372"/>
      <c r="K116" s="1266"/>
      <c r="L116" s="1247"/>
      <c r="M116" s="1250"/>
      <c r="N116" s="1371"/>
      <c r="O116" s="1368"/>
      <c r="P116" s="1390" t="s">
        <v>2179</v>
      </c>
      <c r="Q116" s="1386" t="str">
        <f>IFERROR(VLOOKUP('別紙様式2-2（４・５月分）'!AR89,【参考】数式用!$AT$5:$AV$22,3,FALSE),"")</f>
        <v/>
      </c>
      <c r="R116" s="1388" t="s">
        <v>2190</v>
      </c>
      <c r="S116" s="1396" t="str">
        <f>IFERROR(VLOOKUP(K114,【参考】数式用!$A$5:$AB$27,MATCH(Q116,【参考】数式用!$B$4:$AB$4,0)+1,0),"")</f>
        <v/>
      </c>
      <c r="T116" s="1459" t="s">
        <v>217</v>
      </c>
      <c r="U116" s="1461"/>
      <c r="V116" s="1463" t="str">
        <f>IFERROR(VLOOKUP(K114,【参考】数式用!$A$5:$AB$27,MATCH(U116,【参考】数式用!$B$4:$AB$4,0)+1,0),"")</f>
        <v/>
      </c>
      <c r="W116" s="1465" t="s">
        <v>19</v>
      </c>
      <c r="X116" s="1508">
        <v>7</v>
      </c>
      <c r="Y116" s="1407" t="s">
        <v>10</v>
      </c>
      <c r="Z116" s="1508">
        <v>4</v>
      </c>
      <c r="AA116" s="1407" t="s">
        <v>45</v>
      </c>
      <c r="AB116" s="1508">
        <v>8</v>
      </c>
      <c r="AC116" s="1407" t="s">
        <v>10</v>
      </c>
      <c r="AD116" s="1508">
        <v>3</v>
      </c>
      <c r="AE116" s="1407" t="s">
        <v>13</v>
      </c>
      <c r="AF116" s="1407" t="s">
        <v>24</v>
      </c>
      <c r="AG116" s="1407">
        <f>IF(X116&gt;=1,(AB116*12+AD116)-(X116*12+Z116)+1,"")</f>
        <v>12</v>
      </c>
      <c r="AH116" s="1409" t="s">
        <v>38</v>
      </c>
      <c r="AI116" s="1496" t="str">
        <f>IFERROR(ROUNDDOWN(ROUND(L114*V116,0)*M114,0)*AG116,"")</f>
        <v/>
      </c>
      <c r="AJ116" s="1510" t="str">
        <f>IFERROR(ROUNDDOWN(ROUND((L114*(V116-AX114)),0)*M114,0)*AG116,"")</f>
        <v/>
      </c>
      <c r="AK116" s="1494">
        <f>IFERROR(IF(OR(N114="",N115="",N117=""),0,ROUNDDOWN(ROUNDDOWN(ROUND(L114*VLOOKUP(K114,【参考】数式用!$A$5:$AB$27,MATCH("新加算Ⅳ",【参考】数式用!$B$4:$AB$4,0)+1,0),0)*M114,0)*AG116*0.5,0)),"")</f>
        <v>0</v>
      </c>
      <c r="AL116" s="1435" t="str">
        <f t="shared" ref="AL116" si="103">IF(U116&lt;&gt;"","新規に適用","")</f>
        <v/>
      </c>
      <c r="AM116" s="1498">
        <f>IFERROR(IF(OR(N117="ベア加算",N117=""),0, IF(OR(U114="新加算Ⅰ",U114="新加算Ⅱ",U114="新加算Ⅲ",U114="新加算Ⅳ"),0,ROUNDDOWN(ROUND(L114*VLOOKUP(K114,【参考】数式用!$A$5:$I$27,MATCH("ベア加算",【参考】数式用!$B$4:$I$4,0)+1,0),0)*M114,0)*AG116)),"")</f>
        <v>0</v>
      </c>
      <c r="AN116" s="1356" t="str">
        <f t="shared" ref="AN116" si="104">IF(AM116=0,"",IF(AND(U116&lt;&gt;"",AN114=""),"新規に適用",IF(AND(U116&lt;&gt;"",AN114&lt;&gt;""),"継続で適用","")))</f>
        <v/>
      </c>
      <c r="AO116" s="1356" t="str">
        <f>IF(AND(U116&lt;&gt;"",AO114=""),"新規に適用",IF(AND(U116&lt;&gt;"",AO114&lt;&gt;""),"継続で適用",""))</f>
        <v/>
      </c>
      <c r="AP116" s="1358"/>
      <c r="AQ116" s="1356" t="str">
        <f>IF(AND(U116&lt;&gt;"",AQ114=""),"新規に適用",IF(AND(U116&lt;&gt;"",AQ114&lt;&gt;""),"継続で適用",""))</f>
        <v/>
      </c>
      <c r="AR116" s="1344" t="str">
        <f t="shared" si="92"/>
        <v/>
      </c>
      <c r="AS116" s="1356" t="str">
        <f>IF(AND(U116&lt;&gt;"",AS114=""),"新規に適用",IF(AND(U116&lt;&gt;"",AS114&lt;&gt;""),"継続で適用",""))</f>
        <v/>
      </c>
      <c r="AT116" s="1331"/>
      <c r="AU116" s="651"/>
      <c r="AV116" s="1493" t="str">
        <f>IF(K114&lt;&gt;"","V列に色付け","")</f>
        <v/>
      </c>
      <c r="AW116" s="1518"/>
      <c r="AX116" s="1507"/>
      <c r="AY116" s="163"/>
      <c r="AZ116" s="163"/>
      <c r="BA116" s="163"/>
      <c r="BB116" s="163"/>
      <c r="BC116" s="163"/>
      <c r="BD116" s="163"/>
      <c r="BE116" s="163"/>
      <c r="BF116" s="163"/>
      <c r="BG116" s="163"/>
      <c r="BH116" s="163"/>
      <c r="BI116" s="163"/>
      <c r="BJ116" s="163"/>
      <c r="BK116" s="163"/>
      <c r="BL116" s="543" t="str">
        <f>G114</f>
        <v/>
      </c>
    </row>
    <row r="117" spans="1:64" ht="30" customHeight="1" thickBot="1">
      <c r="A117" s="1227"/>
      <c r="B117" s="1376"/>
      <c r="C117" s="1377"/>
      <c r="D117" s="1377"/>
      <c r="E117" s="1377"/>
      <c r="F117" s="1378"/>
      <c r="G117" s="1267"/>
      <c r="H117" s="1267"/>
      <c r="I117" s="1267"/>
      <c r="J117" s="1373"/>
      <c r="K117" s="1267"/>
      <c r="L117" s="1248"/>
      <c r="M117" s="1251"/>
      <c r="N117" s="650" t="str">
        <f>IF('別紙様式2-2（４・５月分）'!Q91="","",'別紙様式2-2（４・５月分）'!Q91)</f>
        <v/>
      </c>
      <c r="O117" s="1369"/>
      <c r="P117" s="1391"/>
      <c r="Q117" s="1387"/>
      <c r="R117" s="1389"/>
      <c r="S117" s="1395"/>
      <c r="T117" s="1460"/>
      <c r="U117" s="1462"/>
      <c r="V117" s="1464"/>
      <c r="W117" s="1466"/>
      <c r="X117" s="1509"/>
      <c r="Y117" s="1408"/>
      <c r="Z117" s="1509"/>
      <c r="AA117" s="1408"/>
      <c r="AB117" s="1509"/>
      <c r="AC117" s="1408"/>
      <c r="AD117" s="1509"/>
      <c r="AE117" s="1408"/>
      <c r="AF117" s="1408"/>
      <c r="AG117" s="1408"/>
      <c r="AH117" s="1410"/>
      <c r="AI117" s="1497"/>
      <c r="AJ117" s="1511"/>
      <c r="AK117" s="1495"/>
      <c r="AL117" s="1436"/>
      <c r="AM117" s="1499"/>
      <c r="AN117" s="1357"/>
      <c r="AO117" s="1357"/>
      <c r="AP117" s="1359"/>
      <c r="AQ117" s="1357"/>
      <c r="AR117" s="1345"/>
      <c r="AS117" s="1357"/>
      <c r="AT117" s="581" t="str">
        <f t="shared" ref="AT117" si="105">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51"/>
      <c r="AV117" s="1493"/>
      <c r="AW117" s="652" t="str">
        <f>IF('別紙様式2-2（４・５月分）'!O91="","",'別紙様式2-2（４・５月分）'!O91)</f>
        <v/>
      </c>
      <c r="AX117" s="1507"/>
      <c r="AY117" s="163"/>
      <c r="AZ117" s="163"/>
      <c r="BA117" s="163"/>
      <c r="BB117" s="163"/>
      <c r="BC117" s="163"/>
      <c r="BD117" s="163"/>
      <c r="BE117" s="163"/>
      <c r="BF117" s="163"/>
      <c r="BG117" s="163"/>
      <c r="BH117" s="163"/>
      <c r="BI117" s="163"/>
      <c r="BJ117" s="163"/>
      <c r="BK117" s="163"/>
      <c r="BL117" s="543" t="str">
        <f>G114</f>
        <v/>
      </c>
    </row>
    <row r="118" spans="1:64" ht="30" customHeight="1">
      <c r="A118" s="1225">
        <v>27</v>
      </c>
      <c r="B118" s="1272" t="str">
        <f>IF(基本情報入力シート!C80="","",基本情報入力シート!C80)</f>
        <v/>
      </c>
      <c r="C118" s="1261"/>
      <c r="D118" s="1261"/>
      <c r="E118" s="1261"/>
      <c r="F118" s="1262"/>
      <c r="G118" s="1266" t="str">
        <f>IF(基本情報入力シート!M80="","",基本情報入力シート!M80)</f>
        <v/>
      </c>
      <c r="H118" s="1266" t="str">
        <f>IF(基本情報入力シート!R80="","",基本情報入力シート!R80)</f>
        <v/>
      </c>
      <c r="I118" s="1266" t="str">
        <f>IF(基本情報入力シート!W80="","",基本情報入力シート!W80)</f>
        <v/>
      </c>
      <c r="J118" s="1372" t="str">
        <f>IF(基本情報入力シート!X80="","",基本情報入力シート!X80)</f>
        <v/>
      </c>
      <c r="K118" s="1266" t="str">
        <f>IF(基本情報入力シート!Y80="","",基本情報入力シート!Y80)</f>
        <v/>
      </c>
      <c r="L118" s="1247" t="str">
        <f>IF(基本情報入力シート!AB80="","",基本情報入力シート!AB80)</f>
        <v/>
      </c>
      <c r="M118" s="1374" t="str">
        <f>IF(基本情報入力シート!AC80="","",基本情報入力シート!AC80)</f>
        <v/>
      </c>
      <c r="N118" s="647" t="str">
        <f>IF('別紙様式2-2（４・５月分）'!Q92="","",'別紙様式2-2（４・５月分）'!Q92)</f>
        <v/>
      </c>
      <c r="O118" s="1366" t="str">
        <f>IF(SUM('別紙様式2-2（４・５月分）'!R92:R94)=0,"",SUM('別紙様式2-2（４・５月分）'!R92:R94))</f>
        <v/>
      </c>
      <c r="P118" s="1380" t="str">
        <f>IFERROR(VLOOKUP('別紙様式2-2（４・５月分）'!AR92,【参考】数式用!$AT$5:$AU$22,2,FALSE),"")</f>
        <v/>
      </c>
      <c r="Q118" s="1381"/>
      <c r="R118" s="1382"/>
      <c r="S118" s="1392" t="str">
        <f>IFERROR(VLOOKUP(K118,【参考】数式用!$A$5:$AB$27,MATCH(P118,【参考】数式用!$B$4:$AB$4,0)+1,0),"")</f>
        <v/>
      </c>
      <c r="T118" s="1413" t="s">
        <v>2173</v>
      </c>
      <c r="U118" s="1415"/>
      <c r="V118" s="1457" t="str">
        <f>IFERROR(VLOOKUP(K118,【参考】数式用!$A$5:$AB$27,MATCH(U118,【参考】数式用!$B$4:$AB$4,0)+1,0),"")</f>
        <v/>
      </c>
      <c r="W118" s="1350" t="s">
        <v>19</v>
      </c>
      <c r="X118" s="1352">
        <v>6</v>
      </c>
      <c r="Y118" s="1354" t="s">
        <v>10</v>
      </c>
      <c r="Z118" s="1352">
        <v>6</v>
      </c>
      <c r="AA118" s="1354" t="s">
        <v>45</v>
      </c>
      <c r="AB118" s="1352">
        <v>7</v>
      </c>
      <c r="AC118" s="1354" t="s">
        <v>10</v>
      </c>
      <c r="AD118" s="1352">
        <v>3</v>
      </c>
      <c r="AE118" s="1354" t="s">
        <v>13</v>
      </c>
      <c r="AF118" s="1354" t="s">
        <v>24</v>
      </c>
      <c r="AG118" s="1354">
        <f>IF(X118&gt;=1,(AB118*12+AD118)-(X118*12+Z118)+1,"")</f>
        <v>10</v>
      </c>
      <c r="AH118" s="1360" t="s">
        <v>38</v>
      </c>
      <c r="AI118" s="1481" t="str">
        <f>IFERROR(ROUNDDOWN(ROUND(L118*V118,0)*M118,0)*AG118,"")</f>
        <v/>
      </c>
      <c r="AJ118" s="1483" t="str">
        <f>IFERROR(ROUNDDOWN(ROUND((L118*(V118-AX118)),0)*M118,0)*AG118,"")</f>
        <v/>
      </c>
      <c r="AK118" s="1485">
        <f>IFERROR(IF(OR(N118="",N119="",N121=""),0,ROUNDDOWN(ROUNDDOWN(ROUND(L118*VLOOKUP(K118,【参考】数式用!$A$5:$AB$27,MATCH("新加算Ⅳ",【参考】数式用!$B$4:$AB$4,0)+1,0),0)*M118,0)*AG118*0.5,0)),"")</f>
        <v>0</v>
      </c>
      <c r="AL118" s="1433"/>
      <c r="AM118" s="1487">
        <f>IFERROR(IF(OR(N121="ベア加算",N121=""),0, IF(OR(U118="新加算Ⅰ",U118="新加算Ⅱ",U118="新加算Ⅲ",U118="新加算Ⅳ"),ROUNDDOWN(ROUND(L118*VLOOKUP(K118,【参考】数式用!$A$5:$I$27,MATCH("ベア加算",【参考】数式用!$B$4:$I$4,0)+1,0),0)*M118,0)*AG118,0)),"")</f>
        <v>0</v>
      </c>
      <c r="AN118" s="1502"/>
      <c r="AO118" s="1364"/>
      <c r="AP118" s="1403"/>
      <c r="AQ118" s="1403"/>
      <c r="AR118" s="1489"/>
      <c r="AS118" s="1491"/>
      <c r="AT118" s="556" t="str">
        <f t="shared" si="67"/>
        <v/>
      </c>
      <c r="AU118" s="651"/>
      <c r="AV118" s="1493" t="str">
        <f>IF(K118&lt;&gt;"","V列に色付け","")</f>
        <v/>
      </c>
      <c r="AW118" s="652" t="str">
        <f>IF('別紙様式2-2（４・５月分）'!O92="","",'別紙様式2-2（４・５月分）'!O92)</f>
        <v/>
      </c>
      <c r="AX118" s="1507" t="str">
        <f>IF(SUM('別紙様式2-2（４・５月分）'!P92:P94)=0,"",SUM('別紙様式2-2（４・５月分）'!P92:P94))</f>
        <v/>
      </c>
      <c r="AY118" s="1506" t="str">
        <f>IFERROR(VLOOKUP(K118,【参考】数式用!$AJ$2:$AK$24,2,FALSE),"")</f>
        <v/>
      </c>
      <c r="AZ118" s="1321" t="s">
        <v>2098</v>
      </c>
      <c r="BA118" s="1321" t="s">
        <v>2099</v>
      </c>
      <c r="BB118" s="1321" t="s">
        <v>2100</v>
      </c>
      <c r="BC118" s="1321" t="s">
        <v>2101</v>
      </c>
      <c r="BD118" s="1321" t="str">
        <f>IF(AND(P118&lt;&gt;"新加算Ⅰ",P118&lt;&gt;"新加算Ⅱ",P118&lt;&gt;"新加算Ⅲ",P118&lt;&gt;"新加算Ⅳ"),P118,IF(Q120&lt;&gt;"",Q120,""))</f>
        <v/>
      </c>
      <c r="BE118" s="1321"/>
      <c r="BF118" s="1321" t="str">
        <f t="shared" ref="BF118" si="106">IF(AM118&lt;&gt;0,IF(AN118="○","入力済","未入力"),"")</f>
        <v/>
      </c>
      <c r="BG118" s="1321"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321" t="str">
        <f>IF(OR(U118="新加算Ⅴ（７）",U118="新加算Ⅴ（９）",U118="新加算Ⅴ（10）",U118="新加算Ⅴ（12）",U118="新加算Ⅴ（13）",U118="新加算Ⅴ（14）"),IF(OR(AP118="○",AP118="令和６年度中に満たす"),"入力済","未入力"),"")</f>
        <v/>
      </c>
      <c r="BI118" s="1321" t="str">
        <f>IF(OR(U118="新加算Ⅰ",U118="新加算Ⅱ",U118="新加算Ⅲ",U118="新加算Ⅴ（１）",U118="新加算Ⅴ（３）",U118="新加算Ⅴ（８）"),IF(OR(AQ118="○",AQ118="令和６年度中に満たす"),"入力済","未入力"),"")</f>
        <v/>
      </c>
      <c r="BJ118" s="1512"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493" t="str">
        <f>IF(OR(U118="新加算Ⅰ",U118="新加算Ⅴ（１）",U118="新加算Ⅴ（２）",U118="新加算Ⅴ（５）",U118="新加算Ⅴ（７）",U118="新加算Ⅴ（10）"),IF(AS118="","未入力","入力済"),"")</f>
        <v/>
      </c>
      <c r="BL118" s="543" t="str">
        <f>G118</f>
        <v/>
      </c>
    </row>
    <row r="119" spans="1:64" ht="15" customHeight="1">
      <c r="A119" s="1226"/>
      <c r="B119" s="1272"/>
      <c r="C119" s="1261"/>
      <c r="D119" s="1261"/>
      <c r="E119" s="1261"/>
      <c r="F119" s="1262"/>
      <c r="G119" s="1266"/>
      <c r="H119" s="1266"/>
      <c r="I119" s="1266"/>
      <c r="J119" s="1372"/>
      <c r="K119" s="1266"/>
      <c r="L119" s="1247"/>
      <c r="M119" s="1374"/>
      <c r="N119" s="1370" t="str">
        <f>IF('別紙様式2-2（４・５月分）'!Q93="","",'別紙様式2-2（４・５月分）'!Q93)</f>
        <v/>
      </c>
      <c r="O119" s="1367"/>
      <c r="P119" s="1383"/>
      <c r="Q119" s="1384"/>
      <c r="R119" s="1385"/>
      <c r="S119" s="1393"/>
      <c r="T119" s="1414"/>
      <c r="U119" s="1416"/>
      <c r="V119" s="1458"/>
      <c r="W119" s="1351"/>
      <c r="X119" s="1353"/>
      <c r="Y119" s="1355"/>
      <c r="Z119" s="1353"/>
      <c r="AA119" s="1355"/>
      <c r="AB119" s="1353"/>
      <c r="AC119" s="1355"/>
      <c r="AD119" s="1353"/>
      <c r="AE119" s="1355"/>
      <c r="AF119" s="1355"/>
      <c r="AG119" s="1355"/>
      <c r="AH119" s="1361"/>
      <c r="AI119" s="1482"/>
      <c r="AJ119" s="1484"/>
      <c r="AK119" s="1486"/>
      <c r="AL119" s="1434"/>
      <c r="AM119" s="1488"/>
      <c r="AN119" s="1503"/>
      <c r="AO119" s="1365"/>
      <c r="AP119" s="1404"/>
      <c r="AQ119" s="1404"/>
      <c r="AR119" s="1490"/>
      <c r="AS119" s="1492"/>
      <c r="AT119" s="1331" t="str">
        <f t="shared" si="69"/>
        <v/>
      </c>
      <c r="AU119" s="651"/>
      <c r="AV119" s="1493"/>
      <c r="AW119" s="1518" t="str">
        <f>IF('別紙様式2-2（４・５月分）'!O93="","",'別紙様式2-2（４・５月分）'!O93)</f>
        <v/>
      </c>
      <c r="AX119" s="1507"/>
      <c r="AY119" s="1506"/>
      <c r="AZ119" s="1321"/>
      <c r="BA119" s="1321"/>
      <c r="BB119" s="1321"/>
      <c r="BC119" s="1321"/>
      <c r="BD119" s="1321"/>
      <c r="BE119" s="1321"/>
      <c r="BF119" s="1321"/>
      <c r="BG119" s="1321"/>
      <c r="BH119" s="1321"/>
      <c r="BI119" s="1321"/>
      <c r="BJ119" s="1512"/>
      <c r="BK119" s="1493"/>
      <c r="BL119" s="543" t="str">
        <f>G118</f>
        <v/>
      </c>
    </row>
    <row r="120" spans="1:64" ht="15" customHeight="1">
      <c r="A120" s="1240"/>
      <c r="B120" s="1272"/>
      <c r="C120" s="1261"/>
      <c r="D120" s="1261"/>
      <c r="E120" s="1261"/>
      <c r="F120" s="1262"/>
      <c r="G120" s="1266"/>
      <c r="H120" s="1266"/>
      <c r="I120" s="1266"/>
      <c r="J120" s="1372"/>
      <c r="K120" s="1266"/>
      <c r="L120" s="1247"/>
      <c r="M120" s="1374"/>
      <c r="N120" s="1371"/>
      <c r="O120" s="1368"/>
      <c r="P120" s="1390" t="s">
        <v>2179</v>
      </c>
      <c r="Q120" s="1386" t="str">
        <f>IFERROR(VLOOKUP('別紙様式2-2（４・５月分）'!AR92,【参考】数式用!$AT$5:$AV$22,3,FALSE),"")</f>
        <v/>
      </c>
      <c r="R120" s="1388" t="s">
        <v>2190</v>
      </c>
      <c r="S120" s="1394" t="str">
        <f>IFERROR(VLOOKUP(K118,【参考】数式用!$A$5:$AB$27,MATCH(Q120,【参考】数式用!$B$4:$AB$4,0)+1,0),"")</f>
        <v/>
      </c>
      <c r="T120" s="1459" t="s">
        <v>217</v>
      </c>
      <c r="U120" s="1461"/>
      <c r="V120" s="1463" t="str">
        <f>IFERROR(VLOOKUP(K118,【参考】数式用!$A$5:$AB$27,MATCH(U120,【参考】数式用!$B$4:$AB$4,0)+1,0),"")</f>
        <v/>
      </c>
      <c r="W120" s="1465" t="s">
        <v>19</v>
      </c>
      <c r="X120" s="1508">
        <v>7</v>
      </c>
      <c r="Y120" s="1407" t="s">
        <v>10</v>
      </c>
      <c r="Z120" s="1508">
        <v>4</v>
      </c>
      <c r="AA120" s="1407" t="s">
        <v>45</v>
      </c>
      <c r="AB120" s="1508">
        <v>8</v>
      </c>
      <c r="AC120" s="1407" t="s">
        <v>10</v>
      </c>
      <c r="AD120" s="1508">
        <v>3</v>
      </c>
      <c r="AE120" s="1407" t="s">
        <v>13</v>
      </c>
      <c r="AF120" s="1407" t="s">
        <v>24</v>
      </c>
      <c r="AG120" s="1407">
        <f>IF(X120&gt;=1,(AB120*12+AD120)-(X120*12+Z120)+1,"")</f>
        <v>12</v>
      </c>
      <c r="AH120" s="1409" t="s">
        <v>38</v>
      </c>
      <c r="AI120" s="1496" t="str">
        <f>IFERROR(ROUNDDOWN(ROUND(L118*V120,0)*M118,0)*AG120,"")</f>
        <v/>
      </c>
      <c r="AJ120" s="1510" t="str">
        <f>IFERROR(ROUNDDOWN(ROUND((L118*(V120-AX118)),0)*M118,0)*AG120,"")</f>
        <v/>
      </c>
      <c r="AK120" s="1494">
        <f>IFERROR(IF(OR(N118="",N119="",N121=""),0,ROUNDDOWN(ROUNDDOWN(ROUND(L118*VLOOKUP(K118,【参考】数式用!$A$5:$AB$27,MATCH("新加算Ⅳ",【参考】数式用!$B$4:$AB$4,0)+1,0),0)*M118,0)*AG120*0.5,0)),"")</f>
        <v>0</v>
      </c>
      <c r="AL120" s="1435" t="str">
        <f t="shared" ref="AL120" si="107">IF(U120&lt;&gt;"","新規に適用","")</f>
        <v/>
      </c>
      <c r="AM120" s="1498">
        <f>IFERROR(IF(OR(N121="ベア加算",N121=""),0, IF(OR(U118="新加算Ⅰ",U118="新加算Ⅱ",U118="新加算Ⅲ",U118="新加算Ⅳ"),0,ROUNDDOWN(ROUND(L118*VLOOKUP(K118,【参考】数式用!$A$5:$I$27,MATCH("ベア加算",【参考】数式用!$B$4:$I$4,0)+1,0),0)*M118,0)*AG120)),"")</f>
        <v>0</v>
      </c>
      <c r="AN120" s="1356" t="str">
        <f t="shared" ref="AN120" si="108">IF(AM120=0,"",IF(AND(U120&lt;&gt;"",AN118=""),"新規に適用",IF(AND(U120&lt;&gt;"",AN118&lt;&gt;""),"継続で適用","")))</f>
        <v/>
      </c>
      <c r="AO120" s="1356" t="str">
        <f>IF(AND(U120&lt;&gt;"",AO118=""),"新規に適用",IF(AND(U120&lt;&gt;"",AO118&lt;&gt;""),"継続で適用",""))</f>
        <v/>
      </c>
      <c r="AP120" s="1358"/>
      <c r="AQ120" s="1356" t="str">
        <f>IF(AND(U120&lt;&gt;"",AQ118=""),"新規に適用",IF(AND(U120&lt;&gt;"",AQ118&lt;&gt;""),"継続で適用",""))</f>
        <v/>
      </c>
      <c r="AR120" s="1344" t="str">
        <f t="shared" si="92"/>
        <v/>
      </c>
      <c r="AS120" s="1356" t="str">
        <f>IF(AND(U120&lt;&gt;"",AS118=""),"新規に適用",IF(AND(U120&lt;&gt;"",AS118&lt;&gt;""),"継続で適用",""))</f>
        <v/>
      </c>
      <c r="AT120" s="1331"/>
      <c r="AU120" s="651"/>
      <c r="AV120" s="1493" t="str">
        <f>IF(K118&lt;&gt;"","V列に色付け","")</f>
        <v/>
      </c>
      <c r="AW120" s="1518"/>
      <c r="AX120" s="1507"/>
      <c r="AY120" s="163"/>
      <c r="AZ120" s="163"/>
      <c r="BA120" s="163"/>
      <c r="BB120" s="163"/>
      <c r="BC120" s="163"/>
      <c r="BD120" s="163"/>
      <c r="BE120" s="163"/>
      <c r="BF120" s="163"/>
      <c r="BG120" s="163"/>
      <c r="BH120" s="163"/>
      <c r="BI120" s="163"/>
      <c r="BJ120" s="163"/>
      <c r="BK120" s="163"/>
      <c r="BL120" s="543" t="str">
        <f>G118</f>
        <v/>
      </c>
    </row>
    <row r="121" spans="1:64" ht="30" customHeight="1" thickBot="1">
      <c r="A121" s="1227"/>
      <c r="B121" s="1376"/>
      <c r="C121" s="1377"/>
      <c r="D121" s="1377"/>
      <c r="E121" s="1377"/>
      <c r="F121" s="1378"/>
      <c r="G121" s="1267"/>
      <c r="H121" s="1267"/>
      <c r="I121" s="1267"/>
      <c r="J121" s="1373"/>
      <c r="K121" s="1267"/>
      <c r="L121" s="1248"/>
      <c r="M121" s="1375"/>
      <c r="N121" s="650" t="str">
        <f>IF('別紙様式2-2（４・５月分）'!Q94="","",'別紙様式2-2（４・５月分）'!Q94)</f>
        <v/>
      </c>
      <c r="O121" s="1369"/>
      <c r="P121" s="1391"/>
      <c r="Q121" s="1387"/>
      <c r="R121" s="1389"/>
      <c r="S121" s="1395"/>
      <c r="T121" s="1460"/>
      <c r="U121" s="1462"/>
      <c r="V121" s="1464"/>
      <c r="W121" s="1466"/>
      <c r="X121" s="1509"/>
      <c r="Y121" s="1408"/>
      <c r="Z121" s="1509"/>
      <c r="AA121" s="1408"/>
      <c r="AB121" s="1509"/>
      <c r="AC121" s="1408"/>
      <c r="AD121" s="1509"/>
      <c r="AE121" s="1408"/>
      <c r="AF121" s="1408"/>
      <c r="AG121" s="1408"/>
      <c r="AH121" s="1410"/>
      <c r="AI121" s="1497"/>
      <c r="AJ121" s="1511"/>
      <c r="AK121" s="1495"/>
      <c r="AL121" s="1436"/>
      <c r="AM121" s="1499"/>
      <c r="AN121" s="1357"/>
      <c r="AO121" s="1357"/>
      <c r="AP121" s="1359"/>
      <c r="AQ121" s="1357"/>
      <c r="AR121" s="1345"/>
      <c r="AS121" s="1357"/>
      <c r="AT121" s="581" t="str">
        <f t="shared" ref="AT121" si="109">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51"/>
      <c r="AV121" s="1493"/>
      <c r="AW121" s="652" t="str">
        <f>IF('別紙様式2-2（４・５月分）'!O94="","",'別紙様式2-2（４・５月分）'!O94)</f>
        <v/>
      </c>
      <c r="AX121" s="1507"/>
      <c r="AY121" s="163"/>
      <c r="AZ121" s="163"/>
      <c r="BA121" s="163"/>
      <c r="BB121" s="163"/>
      <c r="BC121" s="163"/>
      <c r="BD121" s="163"/>
      <c r="BE121" s="163"/>
      <c r="BF121" s="163"/>
      <c r="BG121" s="163"/>
      <c r="BH121" s="163"/>
      <c r="BI121" s="163"/>
      <c r="BJ121" s="163"/>
      <c r="BK121" s="163"/>
      <c r="BL121" s="543" t="str">
        <f>G118</f>
        <v/>
      </c>
    </row>
    <row r="122" spans="1:64" ht="30" customHeight="1">
      <c r="A122" s="1241">
        <v>28</v>
      </c>
      <c r="B122" s="1271" t="str">
        <f>IF(基本情報入力シート!C81="","",基本情報入力シート!C81)</f>
        <v/>
      </c>
      <c r="C122" s="1259"/>
      <c r="D122" s="1259"/>
      <c r="E122" s="1259"/>
      <c r="F122" s="1260"/>
      <c r="G122" s="1265" t="str">
        <f>IF(基本情報入力シート!M81="","",基本情報入力シート!M81)</f>
        <v/>
      </c>
      <c r="H122" s="1265" t="str">
        <f>IF(基本情報入力シート!R81="","",基本情報入力シート!R81)</f>
        <v/>
      </c>
      <c r="I122" s="1265" t="str">
        <f>IF(基本情報入力シート!W81="","",基本情報入力シート!W81)</f>
        <v/>
      </c>
      <c r="J122" s="1379" t="str">
        <f>IF(基本情報入力シート!X81="","",基本情報入力シート!X81)</f>
        <v/>
      </c>
      <c r="K122" s="1265" t="str">
        <f>IF(基本情報入力シート!Y81="","",基本情報入力シート!Y81)</f>
        <v/>
      </c>
      <c r="L122" s="1246" t="str">
        <f>IF(基本情報入力シート!AB81="","",基本情報入力シート!AB81)</f>
        <v/>
      </c>
      <c r="M122" s="1249" t="str">
        <f>IF(基本情報入力シート!AC81="","",基本情報入力シート!AC81)</f>
        <v/>
      </c>
      <c r="N122" s="647" t="str">
        <f>IF('別紙様式2-2（４・５月分）'!Q95="","",'別紙様式2-2（４・５月分）'!Q95)</f>
        <v/>
      </c>
      <c r="O122" s="1366" t="str">
        <f>IF(SUM('別紙様式2-2（４・５月分）'!R95:R97)=0,"",SUM('別紙様式2-2（４・５月分）'!R95:R97))</f>
        <v/>
      </c>
      <c r="P122" s="1380" t="str">
        <f>IFERROR(VLOOKUP('別紙様式2-2（４・５月分）'!AR95,【参考】数式用!$AT$5:$AU$22,2,FALSE),"")</f>
        <v/>
      </c>
      <c r="Q122" s="1381"/>
      <c r="R122" s="1382"/>
      <c r="S122" s="1392" t="str">
        <f>IFERROR(VLOOKUP(K122,【参考】数式用!$A$5:$AB$27,MATCH(P122,【参考】数式用!$B$4:$AB$4,0)+1,0),"")</f>
        <v/>
      </c>
      <c r="T122" s="1413" t="s">
        <v>2173</v>
      </c>
      <c r="U122" s="1415"/>
      <c r="V122" s="1457" t="str">
        <f>IFERROR(VLOOKUP(K122,【参考】数式用!$A$5:$AB$27,MATCH(U122,【参考】数式用!$B$4:$AB$4,0)+1,0),"")</f>
        <v/>
      </c>
      <c r="W122" s="1350" t="s">
        <v>19</v>
      </c>
      <c r="X122" s="1352">
        <v>6</v>
      </c>
      <c r="Y122" s="1354" t="s">
        <v>10</v>
      </c>
      <c r="Z122" s="1352">
        <v>6</v>
      </c>
      <c r="AA122" s="1354" t="s">
        <v>45</v>
      </c>
      <c r="AB122" s="1352">
        <v>7</v>
      </c>
      <c r="AC122" s="1354" t="s">
        <v>10</v>
      </c>
      <c r="AD122" s="1352">
        <v>3</v>
      </c>
      <c r="AE122" s="1354" t="s">
        <v>13</v>
      </c>
      <c r="AF122" s="1354" t="s">
        <v>24</v>
      </c>
      <c r="AG122" s="1354">
        <f>IF(X122&gt;=1,(AB122*12+AD122)-(X122*12+Z122)+1,"")</f>
        <v>10</v>
      </c>
      <c r="AH122" s="1360" t="s">
        <v>38</v>
      </c>
      <c r="AI122" s="1481" t="str">
        <f>IFERROR(ROUNDDOWN(ROUND(L122*V122,0)*M122,0)*AG122,"")</f>
        <v/>
      </c>
      <c r="AJ122" s="1483" t="str">
        <f>IFERROR(ROUNDDOWN(ROUND((L122*(V122-AX122)),0)*M122,0)*AG122,"")</f>
        <v/>
      </c>
      <c r="AK122" s="1485">
        <f>IFERROR(IF(OR(N122="",N123="",N125=""),0,ROUNDDOWN(ROUNDDOWN(ROUND(L122*VLOOKUP(K122,【参考】数式用!$A$5:$AB$27,MATCH("新加算Ⅳ",【参考】数式用!$B$4:$AB$4,0)+1,0),0)*M122,0)*AG122*0.5,0)),"")</f>
        <v>0</v>
      </c>
      <c r="AL122" s="1433"/>
      <c r="AM122" s="1487">
        <f>IFERROR(IF(OR(N125="ベア加算",N125=""),0, IF(OR(U122="新加算Ⅰ",U122="新加算Ⅱ",U122="新加算Ⅲ",U122="新加算Ⅳ"),ROUNDDOWN(ROUND(L122*VLOOKUP(K122,【参考】数式用!$A$5:$I$27,MATCH("ベア加算",【参考】数式用!$B$4:$I$4,0)+1,0),0)*M122,0)*AG122,0)),"")</f>
        <v>0</v>
      </c>
      <c r="AN122" s="1502"/>
      <c r="AO122" s="1364"/>
      <c r="AP122" s="1403"/>
      <c r="AQ122" s="1403"/>
      <c r="AR122" s="1489"/>
      <c r="AS122" s="1491"/>
      <c r="AT122" s="556" t="str">
        <f t="shared" si="67"/>
        <v/>
      </c>
      <c r="AU122" s="651"/>
      <c r="AV122" s="1493" t="str">
        <f>IF(K122&lt;&gt;"","V列に色付け","")</f>
        <v/>
      </c>
      <c r="AW122" s="652" t="str">
        <f>IF('別紙様式2-2（４・５月分）'!O95="","",'別紙様式2-2（４・５月分）'!O95)</f>
        <v/>
      </c>
      <c r="AX122" s="1507" t="str">
        <f>IF(SUM('別紙様式2-2（４・５月分）'!P95:P97)=0,"",SUM('別紙様式2-2（４・５月分）'!P95:P97))</f>
        <v/>
      </c>
      <c r="AY122" s="1506" t="str">
        <f>IFERROR(VLOOKUP(K122,【参考】数式用!$AJ$2:$AK$24,2,FALSE),"")</f>
        <v/>
      </c>
      <c r="AZ122" s="1321" t="s">
        <v>2098</v>
      </c>
      <c r="BA122" s="1321" t="s">
        <v>2099</v>
      </c>
      <c r="BB122" s="1321" t="s">
        <v>2100</v>
      </c>
      <c r="BC122" s="1321" t="s">
        <v>2101</v>
      </c>
      <c r="BD122" s="1321" t="str">
        <f>IF(AND(P122&lt;&gt;"新加算Ⅰ",P122&lt;&gt;"新加算Ⅱ",P122&lt;&gt;"新加算Ⅲ",P122&lt;&gt;"新加算Ⅳ"),P122,IF(Q124&lt;&gt;"",Q124,""))</f>
        <v/>
      </c>
      <c r="BE122" s="1321"/>
      <c r="BF122" s="1321" t="str">
        <f t="shared" ref="BF122" si="110">IF(AM122&lt;&gt;0,IF(AN122="○","入力済","未入力"),"")</f>
        <v/>
      </c>
      <c r="BG122" s="1321"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321" t="str">
        <f>IF(OR(U122="新加算Ⅴ（７）",U122="新加算Ⅴ（９）",U122="新加算Ⅴ（10）",U122="新加算Ⅴ（12）",U122="新加算Ⅴ（13）",U122="新加算Ⅴ（14）"),IF(OR(AP122="○",AP122="令和６年度中に満たす"),"入力済","未入力"),"")</f>
        <v/>
      </c>
      <c r="BI122" s="1321" t="str">
        <f>IF(OR(U122="新加算Ⅰ",U122="新加算Ⅱ",U122="新加算Ⅲ",U122="新加算Ⅴ（１）",U122="新加算Ⅴ（３）",U122="新加算Ⅴ（８）"),IF(OR(AQ122="○",AQ122="令和６年度中に満たす"),"入力済","未入力"),"")</f>
        <v/>
      </c>
      <c r="BJ122" s="1512"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493" t="str">
        <f>IF(OR(U122="新加算Ⅰ",U122="新加算Ⅴ（１）",U122="新加算Ⅴ（２）",U122="新加算Ⅴ（５）",U122="新加算Ⅴ（７）",U122="新加算Ⅴ（10）"),IF(AS122="","未入力","入力済"),"")</f>
        <v/>
      </c>
      <c r="BL122" s="543" t="str">
        <f>G122</f>
        <v/>
      </c>
    </row>
    <row r="123" spans="1:64" ht="15" customHeight="1">
      <c r="A123" s="1226"/>
      <c r="B123" s="1272"/>
      <c r="C123" s="1261"/>
      <c r="D123" s="1261"/>
      <c r="E123" s="1261"/>
      <c r="F123" s="1262"/>
      <c r="G123" s="1266"/>
      <c r="H123" s="1266"/>
      <c r="I123" s="1266"/>
      <c r="J123" s="1372"/>
      <c r="K123" s="1266"/>
      <c r="L123" s="1247"/>
      <c r="M123" s="1250"/>
      <c r="N123" s="1370" t="str">
        <f>IF('別紙様式2-2（４・５月分）'!Q96="","",'別紙様式2-2（４・５月分）'!Q96)</f>
        <v/>
      </c>
      <c r="O123" s="1367"/>
      <c r="P123" s="1383"/>
      <c r="Q123" s="1384"/>
      <c r="R123" s="1385"/>
      <c r="S123" s="1393"/>
      <c r="T123" s="1414"/>
      <c r="U123" s="1416"/>
      <c r="V123" s="1458"/>
      <c r="W123" s="1351"/>
      <c r="X123" s="1353"/>
      <c r="Y123" s="1355"/>
      <c r="Z123" s="1353"/>
      <c r="AA123" s="1355"/>
      <c r="AB123" s="1353"/>
      <c r="AC123" s="1355"/>
      <c r="AD123" s="1353"/>
      <c r="AE123" s="1355"/>
      <c r="AF123" s="1355"/>
      <c r="AG123" s="1355"/>
      <c r="AH123" s="1361"/>
      <c r="AI123" s="1482"/>
      <c r="AJ123" s="1484"/>
      <c r="AK123" s="1486"/>
      <c r="AL123" s="1434"/>
      <c r="AM123" s="1488"/>
      <c r="AN123" s="1503"/>
      <c r="AO123" s="1365"/>
      <c r="AP123" s="1404"/>
      <c r="AQ123" s="1404"/>
      <c r="AR123" s="1490"/>
      <c r="AS123" s="1492"/>
      <c r="AT123" s="1331" t="str">
        <f t="shared" si="69"/>
        <v/>
      </c>
      <c r="AU123" s="651"/>
      <c r="AV123" s="1493"/>
      <c r="AW123" s="1518" t="str">
        <f>IF('別紙様式2-2（４・５月分）'!O96="","",'別紙様式2-2（４・５月分）'!O96)</f>
        <v/>
      </c>
      <c r="AX123" s="1507"/>
      <c r="AY123" s="1506"/>
      <c r="AZ123" s="1321"/>
      <c r="BA123" s="1321"/>
      <c r="BB123" s="1321"/>
      <c r="BC123" s="1321"/>
      <c r="BD123" s="1321"/>
      <c r="BE123" s="1321"/>
      <c r="BF123" s="1321"/>
      <c r="BG123" s="1321"/>
      <c r="BH123" s="1321"/>
      <c r="BI123" s="1321"/>
      <c r="BJ123" s="1512"/>
      <c r="BK123" s="1493"/>
      <c r="BL123" s="543" t="str">
        <f>G122</f>
        <v/>
      </c>
    </row>
    <row r="124" spans="1:64" ht="15" customHeight="1">
      <c r="A124" s="1240"/>
      <c r="B124" s="1272"/>
      <c r="C124" s="1261"/>
      <c r="D124" s="1261"/>
      <c r="E124" s="1261"/>
      <c r="F124" s="1262"/>
      <c r="G124" s="1266"/>
      <c r="H124" s="1266"/>
      <c r="I124" s="1266"/>
      <c r="J124" s="1372"/>
      <c r="K124" s="1266"/>
      <c r="L124" s="1247"/>
      <c r="M124" s="1250"/>
      <c r="N124" s="1371"/>
      <c r="O124" s="1368"/>
      <c r="P124" s="1390" t="s">
        <v>2179</v>
      </c>
      <c r="Q124" s="1386" t="str">
        <f>IFERROR(VLOOKUP('別紙様式2-2（４・５月分）'!AR95,【参考】数式用!$AT$5:$AV$22,3,FALSE),"")</f>
        <v/>
      </c>
      <c r="R124" s="1388" t="s">
        <v>2190</v>
      </c>
      <c r="S124" s="1396" t="str">
        <f>IFERROR(VLOOKUP(K122,【参考】数式用!$A$5:$AB$27,MATCH(Q124,【参考】数式用!$B$4:$AB$4,0)+1,0),"")</f>
        <v/>
      </c>
      <c r="T124" s="1459" t="s">
        <v>217</v>
      </c>
      <c r="U124" s="1461"/>
      <c r="V124" s="1463" t="str">
        <f>IFERROR(VLOOKUP(K122,【参考】数式用!$A$5:$AB$27,MATCH(U124,【参考】数式用!$B$4:$AB$4,0)+1,0),"")</f>
        <v/>
      </c>
      <c r="W124" s="1465" t="s">
        <v>19</v>
      </c>
      <c r="X124" s="1508">
        <v>7</v>
      </c>
      <c r="Y124" s="1407" t="s">
        <v>10</v>
      </c>
      <c r="Z124" s="1508">
        <v>4</v>
      </c>
      <c r="AA124" s="1407" t="s">
        <v>45</v>
      </c>
      <c r="AB124" s="1508">
        <v>8</v>
      </c>
      <c r="AC124" s="1407" t="s">
        <v>10</v>
      </c>
      <c r="AD124" s="1508">
        <v>3</v>
      </c>
      <c r="AE124" s="1407" t="s">
        <v>13</v>
      </c>
      <c r="AF124" s="1407" t="s">
        <v>24</v>
      </c>
      <c r="AG124" s="1407">
        <f>IF(X124&gt;=1,(AB124*12+AD124)-(X124*12+Z124)+1,"")</f>
        <v>12</v>
      </c>
      <c r="AH124" s="1409" t="s">
        <v>38</v>
      </c>
      <c r="AI124" s="1496" t="str">
        <f>IFERROR(ROUNDDOWN(ROUND(L122*V124,0)*M122,0)*AG124,"")</f>
        <v/>
      </c>
      <c r="AJ124" s="1510" t="str">
        <f>IFERROR(ROUNDDOWN(ROUND((L122*(V124-AX122)),0)*M122,0)*AG124,"")</f>
        <v/>
      </c>
      <c r="AK124" s="1494">
        <f>IFERROR(IF(OR(N122="",N123="",N125=""),0,ROUNDDOWN(ROUNDDOWN(ROUND(L122*VLOOKUP(K122,【参考】数式用!$A$5:$AB$27,MATCH("新加算Ⅳ",【参考】数式用!$B$4:$AB$4,0)+1,0),0)*M122,0)*AG124*0.5,0)),"")</f>
        <v>0</v>
      </c>
      <c r="AL124" s="1435" t="str">
        <f t="shared" ref="AL124" si="111">IF(U124&lt;&gt;"","新規に適用","")</f>
        <v/>
      </c>
      <c r="AM124" s="1498">
        <f>IFERROR(IF(OR(N125="ベア加算",N125=""),0, IF(OR(U122="新加算Ⅰ",U122="新加算Ⅱ",U122="新加算Ⅲ",U122="新加算Ⅳ"),0,ROUNDDOWN(ROUND(L122*VLOOKUP(K122,【参考】数式用!$A$5:$I$27,MATCH("ベア加算",【参考】数式用!$B$4:$I$4,0)+1,0),0)*M122,0)*AG124)),"")</f>
        <v>0</v>
      </c>
      <c r="AN124" s="1356" t="str">
        <f t="shared" ref="AN124" si="112">IF(AM124=0,"",IF(AND(U124&lt;&gt;"",AN122=""),"新規に適用",IF(AND(U124&lt;&gt;"",AN122&lt;&gt;""),"継続で適用","")))</f>
        <v/>
      </c>
      <c r="AO124" s="1356" t="str">
        <f>IF(AND(U124&lt;&gt;"",AO122=""),"新規に適用",IF(AND(U124&lt;&gt;"",AO122&lt;&gt;""),"継続で適用",""))</f>
        <v/>
      </c>
      <c r="AP124" s="1358"/>
      <c r="AQ124" s="1356" t="str">
        <f>IF(AND(U124&lt;&gt;"",AQ122=""),"新規に適用",IF(AND(U124&lt;&gt;"",AQ122&lt;&gt;""),"継続で適用",""))</f>
        <v/>
      </c>
      <c r="AR124" s="1344" t="str">
        <f t="shared" si="92"/>
        <v/>
      </c>
      <c r="AS124" s="1356" t="str">
        <f>IF(AND(U124&lt;&gt;"",AS122=""),"新規に適用",IF(AND(U124&lt;&gt;"",AS122&lt;&gt;""),"継続で適用",""))</f>
        <v/>
      </c>
      <c r="AT124" s="1331"/>
      <c r="AU124" s="651"/>
      <c r="AV124" s="1493" t="str">
        <f>IF(K122&lt;&gt;"","V列に色付け","")</f>
        <v/>
      </c>
      <c r="AW124" s="1518"/>
      <c r="AX124" s="1507"/>
      <c r="AY124" s="163"/>
      <c r="AZ124" s="163"/>
      <c r="BA124" s="163"/>
      <c r="BB124" s="163"/>
      <c r="BC124" s="163"/>
      <c r="BD124" s="163"/>
      <c r="BE124" s="163"/>
      <c r="BF124" s="163"/>
      <c r="BG124" s="163"/>
      <c r="BH124" s="163"/>
      <c r="BI124" s="163"/>
      <c r="BJ124" s="163"/>
      <c r="BK124" s="163"/>
      <c r="BL124" s="543" t="str">
        <f>G122</f>
        <v/>
      </c>
    </row>
    <row r="125" spans="1:64" ht="30" customHeight="1" thickBot="1">
      <c r="A125" s="1227"/>
      <c r="B125" s="1376"/>
      <c r="C125" s="1377"/>
      <c r="D125" s="1377"/>
      <c r="E125" s="1377"/>
      <c r="F125" s="1378"/>
      <c r="G125" s="1267"/>
      <c r="H125" s="1267"/>
      <c r="I125" s="1267"/>
      <c r="J125" s="1373"/>
      <c r="K125" s="1267"/>
      <c r="L125" s="1248"/>
      <c r="M125" s="1251"/>
      <c r="N125" s="650" t="str">
        <f>IF('別紙様式2-2（４・５月分）'!Q97="","",'別紙様式2-2（４・５月分）'!Q97)</f>
        <v/>
      </c>
      <c r="O125" s="1369"/>
      <c r="P125" s="1391"/>
      <c r="Q125" s="1387"/>
      <c r="R125" s="1389"/>
      <c r="S125" s="1395"/>
      <c r="T125" s="1460"/>
      <c r="U125" s="1462"/>
      <c r="V125" s="1464"/>
      <c r="W125" s="1466"/>
      <c r="X125" s="1509"/>
      <c r="Y125" s="1408"/>
      <c r="Z125" s="1509"/>
      <c r="AA125" s="1408"/>
      <c r="AB125" s="1509"/>
      <c r="AC125" s="1408"/>
      <c r="AD125" s="1509"/>
      <c r="AE125" s="1408"/>
      <c r="AF125" s="1408"/>
      <c r="AG125" s="1408"/>
      <c r="AH125" s="1410"/>
      <c r="AI125" s="1497"/>
      <c r="AJ125" s="1511"/>
      <c r="AK125" s="1495"/>
      <c r="AL125" s="1436"/>
      <c r="AM125" s="1499"/>
      <c r="AN125" s="1357"/>
      <c r="AO125" s="1357"/>
      <c r="AP125" s="1359"/>
      <c r="AQ125" s="1357"/>
      <c r="AR125" s="1345"/>
      <c r="AS125" s="1357"/>
      <c r="AT125" s="581" t="str">
        <f t="shared" ref="AT125" si="113">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51"/>
      <c r="AV125" s="1493"/>
      <c r="AW125" s="652" t="str">
        <f>IF('別紙様式2-2（４・５月分）'!O97="","",'別紙様式2-2（４・５月分）'!O97)</f>
        <v/>
      </c>
      <c r="AX125" s="1507"/>
      <c r="AY125" s="163"/>
      <c r="AZ125" s="163"/>
      <c r="BA125" s="163"/>
      <c r="BB125" s="163"/>
      <c r="BC125" s="163"/>
      <c r="BD125" s="163"/>
      <c r="BE125" s="163"/>
      <c r="BF125" s="163"/>
      <c r="BG125" s="163"/>
      <c r="BH125" s="163"/>
      <c r="BI125" s="163"/>
      <c r="BJ125" s="163"/>
      <c r="BK125" s="163"/>
      <c r="BL125" s="543" t="str">
        <f>G122</f>
        <v/>
      </c>
    </row>
    <row r="126" spans="1:64" ht="30" customHeight="1">
      <c r="A126" s="1225">
        <v>29</v>
      </c>
      <c r="B126" s="1272" t="str">
        <f>IF(基本情報入力シート!C82="","",基本情報入力シート!C82)</f>
        <v/>
      </c>
      <c r="C126" s="1261"/>
      <c r="D126" s="1261"/>
      <c r="E126" s="1261"/>
      <c r="F126" s="1262"/>
      <c r="G126" s="1266" t="str">
        <f>IF(基本情報入力シート!M82="","",基本情報入力シート!M82)</f>
        <v/>
      </c>
      <c r="H126" s="1266" t="str">
        <f>IF(基本情報入力シート!R82="","",基本情報入力シート!R82)</f>
        <v/>
      </c>
      <c r="I126" s="1266" t="str">
        <f>IF(基本情報入力シート!W82="","",基本情報入力シート!W82)</f>
        <v/>
      </c>
      <c r="J126" s="1372" t="str">
        <f>IF(基本情報入力シート!X82="","",基本情報入力シート!X82)</f>
        <v/>
      </c>
      <c r="K126" s="1266" t="str">
        <f>IF(基本情報入力シート!Y82="","",基本情報入力シート!Y82)</f>
        <v/>
      </c>
      <c r="L126" s="1247" t="str">
        <f>IF(基本情報入力シート!AB82="","",基本情報入力シート!AB82)</f>
        <v/>
      </c>
      <c r="M126" s="1374" t="str">
        <f>IF(基本情報入力シート!AC82="","",基本情報入力シート!AC82)</f>
        <v/>
      </c>
      <c r="N126" s="647" t="str">
        <f>IF('別紙様式2-2（４・５月分）'!Q98="","",'別紙様式2-2（４・５月分）'!Q98)</f>
        <v/>
      </c>
      <c r="O126" s="1366" t="str">
        <f>IF(SUM('別紙様式2-2（４・５月分）'!R98:R100)=0,"",SUM('別紙様式2-2（４・５月分）'!R98:R100))</f>
        <v/>
      </c>
      <c r="P126" s="1380" t="str">
        <f>IFERROR(VLOOKUP('別紙様式2-2（４・５月分）'!AR98,【参考】数式用!$AT$5:$AU$22,2,FALSE),"")</f>
        <v/>
      </c>
      <c r="Q126" s="1381"/>
      <c r="R126" s="1382"/>
      <c r="S126" s="1392" t="str">
        <f>IFERROR(VLOOKUP(K126,【参考】数式用!$A$5:$AB$27,MATCH(P126,【参考】数式用!$B$4:$AB$4,0)+1,0),"")</f>
        <v/>
      </c>
      <c r="T126" s="1413" t="s">
        <v>2173</v>
      </c>
      <c r="U126" s="1415"/>
      <c r="V126" s="1457" t="str">
        <f>IFERROR(VLOOKUP(K126,【参考】数式用!$A$5:$AB$27,MATCH(U126,【参考】数式用!$B$4:$AB$4,0)+1,0),"")</f>
        <v/>
      </c>
      <c r="W126" s="1350" t="s">
        <v>19</v>
      </c>
      <c r="X126" s="1352">
        <v>6</v>
      </c>
      <c r="Y126" s="1354" t="s">
        <v>10</v>
      </c>
      <c r="Z126" s="1352">
        <v>6</v>
      </c>
      <c r="AA126" s="1354" t="s">
        <v>45</v>
      </c>
      <c r="AB126" s="1352">
        <v>7</v>
      </c>
      <c r="AC126" s="1354" t="s">
        <v>10</v>
      </c>
      <c r="AD126" s="1352">
        <v>3</v>
      </c>
      <c r="AE126" s="1354" t="s">
        <v>13</v>
      </c>
      <c r="AF126" s="1354" t="s">
        <v>24</v>
      </c>
      <c r="AG126" s="1354">
        <f>IF(X126&gt;=1,(AB126*12+AD126)-(X126*12+Z126)+1,"")</f>
        <v>10</v>
      </c>
      <c r="AH126" s="1360" t="s">
        <v>38</v>
      </c>
      <c r="AI126" s="1481" t="str">
        <f>IFERROR(ROUNDDOWN(ROUND(L126*V126,0)*M126,0)*AG126,"")</f>
        <v/>
      </c>
      <c r="AJ126" s="1483" t="str">
        <f>IFERROR(ROUNDDOWN(ROUND((L126*(V126-AX126)),0)*M126,0)*AG126,"")</f>
        <v/>
      </c>
      <c r="AK126" s="1485">
        <f>IFERROR(IF(OR(N126="",N127="",N129=""),0,ROUNDDOWN(ROUNDDOWN(ROUND(L126*VLOOKUP(K126,【参考】数式用!$A$5:$AB$27,MATCH("新加算Ⅳ",【参考】数式用!$B$4:$AB$4,0)+1,0),0)*M126,0)*AG126*0.5,0)),"")</f>
        <v>0</v>
      </c>
      <c r="AL126" s="1433"/>
      <c r="AM126" s="1487">
        <f>IFERROR(IF(OR(N129="ベア加算",N129=""),0, IF(OR(U126="新加算Ⅰ",U126="新加算Ⅱ",U126="新加算Ⅲ",U126="新加算Ⅳ"),ROUNDDOWN(ROUND(L126*VLOOKUP(K126,【参考】数式用!$A$5:$I$27,MATCH("ベア加算",【参考】数式用!$B$4:$I$4,0)+1,0),0)*M126,0)*AG126,0)),"")</f>
        <v>0</v>
      </c>
      <c r="AN126" s="1502"/>
      <c r="AO126" s="1364"/>
      <c r="AP126" s="1403"/>
      <c r="AQ126" s="1403"/>
      <c r="AR126" s="1489"/>
      <c r="AS126" s="1491"/>
      <c r="AT126" s="556" t="str">
        <f t="shared" si="67"/>
        <v/>
      </c>
      <c r="AU126" s="651"/>
      <c r="AV126" s="1493" t="str">
        <f>IF(K126&lt;&gt;"","V列に色付け","")</f>
        <v/>
      </c>
      <c r="AW126" s="652" t="str">
        <f>IF('別紙様式2-2（４・５月分）'!O98="","",'別紙様式2-2（４・５月分）'!O98)</f>
        <v/>
      </c>
      <c r="AX126" s="1507" t="str">
        <f>IF(SUM('別紙様式2-2（４・５月分）'!P98:P100)=0,"",SUM('別紙様式2-2（４・５月分）'!P98:P100))</f>
        <v/>
      </c>
      <c r="AY126" s="1506" t="str">
        <f>IFERROR(VLOOKUP(K126,【参考】数式用!$AJ$2:$AK$24,2,FALSE),"")</f>
        <v/>
      </c>
      <c r="AZ126" s="1321" t="s">
        <v>2098</v>
      </c>
      <c r="BA126" s="1321" t="s">
        <v>2099</v>
      </c>
      <c r="BB126" s="1321" t="s">
        <v>2100</v>
      </c>
      <c r="BC126" s="1321" t="s">
        <v>2101</v>
      </c>
      <c r="BD126" s="1321" t="str">
        <f>IF(AND(P126&lt;&gt;"新加算Ⅰ",P126&lt;&gt;"新加算Ⅱ",P126&lt;&gt;"新加算Ⅲ",P126&lt;&gt;"新加算Ⅳ"),P126,IF(Q128&lt;&gt;"",Q128,""))</f>
        <v/>
      </c>
      <c r="BE126" s="1321"/>
      <c r="BF126" s="1321" t="str">
        <f t="shared" ref="BF126" si="114">IF(AM126&lt;&gt;0,IF(AN126="○","入力済","未入力"),"")</f>
        <v/>
      </c>
      <c r="BG126" s="1321"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321" t="str">
        <f>IF(OR(U126="新加算Ⅴ（７）",U126="新加算Ⅴ（９）",U126="新加算Ⅴ（10）",U126="新加算Ⅴ（12）",U126="新加算Ⅴ（13）",U126="新加算Ⅴ（14）"),IF(OR(AP126="○",AP126="令和６年度中に満たす"),"入力済","未入力"),"")</f>
        <v/>
      </c>
      <c r="BI126" s="1321" t="str">
        <f>IF(OR(U126="新加算Ⅰ",U126="新加算Ⅱ",U126="新加算Ⅲ",U126="新加算Ⅴ（１）",U126="新加算Ⅴ（３）",U126="新加算Ⅴ（８）"),IF(OR(AQ126="○",AQ126="令和６年度中に満たす"),"入力済","未入力"),"")</f>
        <v/>
      </c>
      <c r="BJ126" s="1512"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493" t="str">
        <f>IF(OR(U126="新加算Ⅰ",U126="新加算Ⅴ（１）",U126="新加算Ⅴ（２）",U126="新加算Ⅴ（５）",U126="新加算Ⅴ（７）",U126="新加算Ⅴ（10）"),IF(AS126="","未入力","入力済"),"")</f>
        <v/>
      </c>
      <c r="BL126" s="543" t="str">
        <f>G126</f>
        <v/>
      </c>
    </row>
    <row r="127" spans="1:64" ht="15" customHeight="1">
      <c r="A127" s="1226"/>
      <c r="B127" s="1272"/>
      <c r="C127" s="1261"/>
      <c r="D127" s="1261"/>
      <c r="E127" s="1261"/>
      <c r="F127" s="1262"/>
      <c r="G127" s="1266"/>
      <c r="H127" s="1266"/>
      <c r="I127" s="1266"/>
      <c r="J127" s="1372"/>
      <c r="K127" s="1266"/>
      <c r="L127" s="1247"/>
      <c r="M127" s="1374"/>
      <c r="N127" s="1370" t="str">
        <f>IF('別紙様式2-2（４・５月分）'!Q99="","",'別紙様式2-2（４・５月分）'!Q99)</f>
        <v/>
      </c>
      <c r="O127" s="1367"/>
      <c r="P127" s="1383"/>
      <c r="Q127" s="1384"/>
      <c r="R127" s="1385"/>
      <c r="S127" s="1393"/>
      <c r="T127" s="1414"/>
      <c r="U127" s="1416"/>
      <c r="V127" s="1458"/>
      <c r="W127" s="1351"/>
      <c r="X127" s="1353"/>
      <c r="Y127" s="1355"/>
      <c r="Z127" s="1353"/>
      <c r="AA127" s="1355"/>
      <c r="AB127" s="1353"/>
      <c r="AC127" s="1355"/>
      <c r="AD127" s="1353"/>
      <c r="AE127" s="1355"/>
      <c r="AF127" s="1355"/>
      <c r="AG127" s="1355"/>
      <c r="AH127" s="1361"/>
      <c r="AI127" s="1482"/>
      <c r="AJ127" s="1484"/>
      <c r="AK127" s="1486"/>
      <c r="AL127" s="1434"/>
      <c r="AM127" s="1488"/>
      <c r="AN127" s="1503"/>
      <c r="AO127" s="1365"/>
      <c r="AP127" s="1404"/>
      <c r="AQ127" s="1404"/>
      <c r="AR127" s="1490"/>
      <c r="AS127" s="1492"/>
      <c r="AT127" s="1331" t="str">
        <f t="shared" si="69"/>
        <v/>
      </c>
      <c r="AU127" s="651"/>
      <c r="AV127" s="1493"/>
      <c r="AW127" s="1518" t="str">
        <f>IF('別紙様式2-2（４・５月分）'!O99="","",'別紙様式2-2（４・５月分）'!O99)</f>
        <v/>
      </c>
      <c r="AX127" s="1507"/>
      <c r="AY127" s="1506"/>
      <c r="AZ127" s="1321"/>
      <c r="BA127" s="1321"/>
      <c r="BB127" s="1321"/>
      <c r="BC127" s="1321"/>
      <c r="BD127" s="1321"/>
      <c r="BE127" s="1321"/>
      <c r="BF127" s="1321"/>
      <c r="BG127" s="1321"/>
      <c r="BH127" s="1321"/>
      <c r="BI127" s="1321"/>
      <c r="BJ127" s="1512"/>
      <c r="BK127" s="1493"/>
      <c r="BL127" s="543" t="str">
        <f>G126</f>
        <v/>
      </c>
    </row>
    <row r="128" spans="1:64" ht="15" customHeight="1">
      <c r="A128" s="1240"/>
      <c r="B128" s="1272"/>
      <c r="C128" s="1261"/>
      <c r="D128" s="1261"/>
      <c r="E128" s="1261"/>
      <c r="F128" s="1262"/>
      <c r="G128" s="1266"/>
      <c r="H128" s="1266"/>
      <c r="I128" s="1266"/>
      <c r="J128" s="1372"/>
      <c r="K128" s="1266"/>
      <c r="L128" s="1247"/>
      <c r="M128" s="1374"/>
      <c r="N128" s="1371"/>
      <c r="O128" s="1368"/>
      <c r="P128" s="1390" t="s">
        <v>2179</v>
      </c>
      <c r="Q128" s="1386" t="str">
        <f>IFERROR(VLOOKUP('別紙様式2-2（４・５月分）'!AR98,【参考】数式用!$AT$5:$AV$22,3,FALSE),"")</f>
        <v/>
      </c>
      <c r="R128" s="1388" t="s">
        <v>2190</v>
      </c>
      <c r="S128" s="1394" t="str">
        <f>IFERROR(VLOOKUP(K126,【参考】数式用!$A$5:$AB$27,MATCH(Q128,【参考】数式用!$B$4:$AB$4,0)+1,0),"")</f>
        <v/>
      </c>
      <c r="T128" s="1459" t="s">
        <v>217</v>
      </c>
      <c r="U128" s="1461"/>
      <c r="V128" s="1463" t="str">
        <f>IFERROR(VLOOKUP(K126,【参考】数式用!$A$5:$AB$27,MATCH(U128,【参考】数式用!$B$4:$AB$4,0)+1,0),"")</f>
        <v/>
      </c>
      <c r="W128" s="1465" t="s">
        <v>19</v>
      </c>
      <c r="X128" s="1508">
        <v>7</v>
      </c>
      <c r="Y128" s="1407" t="s">
        <v>10</v>
      </c>
      <c r="Z128" s="1508">
        <v>4</v>
      </c>
      <c r="AA128" s="1407" t="s">
        <v>45</v>
      </c>
      <c r="AB128" s="1508">
        <v>8</v>
      </c>
      <c r="AC128" s="1407" t="s">
        <v>10</v>
      </c>
      <c r="AD128" s="1508">
        <v>3</v>
      </c>
      <c r="AE128" s="1407" t="s">
        <v>13</v>
      </c>
      <c r="AF128" s="1407" t="s">
        <v>24</v>
      </c>
      <c r="AG128" s="1407">
        <f>IF(X128&gt;=1,(AB128*12+AD128)-(X128*12+Z128)+1,"")</f>
        <v>12</v>
      </c>
      <c r="AH128" s="1409" t="s">
        <v>38</v>
      </c>
      <c r="AI128" s="1496" t="str">
        <f>IFERROR(ROUNDDOWN(ROUND(L126*V128,0)*M126,0)*AG128,"")</f>
        <v/>
      </c>
      <c r="AJ128" s="1510" t="str">
        <f>IFERROR(ROUNDDOWN(ROUND((L126*(V128-AX126)),0)*M126,0)*AG128,"")</f>
        <v/>
      </c>
      <c r="AK128" s="1494">
        <f>IFERROR(IF(OR(N126="",N127="",N129=""),0,ROUNDDOWN(ROUNDDOWN(ROUND(L126*VLOOKUP(K126,【参考】数式用!$A$5:$AB$27,MATCH("新加算Ⅳ",【参考】数式用!$B$4:$AB$4,0)+1,0),0)*M126,0)*AG128*0.5,0)),"")</f>
        <v>0</v>
      </c>
      <c r="AL128" s="1435" t="str">
        <f t="shared" ref="AL128" si="115">IF(U128&lt;&gt;"","新規に適用","")</f>
        <v/>
      </c>
      <c r="AM128" s="1498">
        <f>IFERROR(IF(OR(N129="ベア加算",N129=""),0, IF(OR(U126="新加算Ⅰ",U126="新加算Ⅱ",U126="新加算Ⅲ",U126="新加算Ⅳ"),0,ROUNDDOWN(ROUND(L126*VLOOKUP(K126,【参考】数式用!$A$5:$I$27,MATCH("ベア加算",【参考】数式用!$B$4:$I$4,0)+1,0),0)*M126,0)*AG128)),"")</f>
        <v>0</v>
      </c>
      <c r="AN128" s="1356" t="str">
        <f t="shared" ref="AN128" si="116">IF(AM128=0,"",IF(AND(U128&lt;&gt;"",AN126=""),"新規に適用",IF(AND(U128&lt;&gt;"",AN126&lt;&gt;""),"継続で適用","")))</f>
        <v/>
      </c>
      <c r="AO128" s="1356" t="str">
        <f>IF(AND(U128&lt;&gt;"",AO126=""),"新規に適用",IF(AND(U128&lt;&gt;"",AO126&lt;&gt;""),"継続で適用",""))</f>
        <v/>
      </c>
      <c r="AP128" s="1358"/>
      <c r="AQ128" s="1356" t="str">
        <f>IF(AND(U128&lt;&gt;"",AQ126=""),"新規に適用",IF(AND(U128&lt;&gt;"",AQ126&lt;&gt;""),"継続で適用",""))</f>
        <v/>
      </c>
      <c r="AR128" s="1344" t="str">
        <f t="shared" si="92"/>
        <v/>
      </c>
      <c r="AS128" s="1356" t="str">
        <f>IF(AND(U128&lt;&gt;"",AS126=""),"新規に適用",IF(AND(U128&lt;&gt;"",AS126&lt;&gt;""),"継続で適用",""))</f>
        <v/>
      </c>
      <c r="AT128" s="1331"/>
      <c r="AU128" s="651"/>
      <c r="AV128" s="1493" t="str">
        <f>IF(K126&lt;&gt;"","V列に色付け","")</f>
        <v/>
      </c>
      <c r="AW128" s="1518"/>
      <c r="AX128" s="1507"/>
      <c r="AY128" s="163"/>
      <c r="AZ128" s="163"/>
      <c r="BA128" s="163"/>
      <c r="BB128" s="163"/>
      <c r="BC128" s="163"/>
      <c r="BD128" s="163"/>
      <c r="BE128" s="163"/>
      <c r="BF128" s="163"/>
      <c r="BG128" s="163"/>
      <c r="BH128" s="163"/>
      <c r="BI128" s="163"/>
      <c r="BJ128" s="163"/>
      <c r="BK128" s="163"/>
      <c r="BL128" s="543" t="str">
        <f>G126</f>
        <v/>
      </c>
    </row>
    <row r="129" spans="1:64" ht="30" customHeight="1" thickBot="1">
      <c r="A129" s="1227"/>
      <c r="B129" s="1376"/>
      <c r="C129" s="1377"/>
      <c r="D129" s="1377"/>
      <c r="E129" s="1377"/>
      <c r="F129" s="1378"/>
      <c r="G129" s="1267"/>
      <c r="H129" s="1267"/>
      <c r="I129" s="1267"/>
      <c r="J129" s="1373"/>
      <c r="K129" s="1267"/>
      <c r="L129" s="1248"/>
      <c r="M129" s="1375"/>
      <c r="N129" s="650" t="str">
        <f>IF('別紙様式2-2（４・５月分）'!Q100="","",'別紙様式2-2（４・５月分）'!Q100)</f>
        <v/>
      </c>
      <c r="O129" s="1369"/>
      <c r="P129" s="1391"/>
      <c r="Q129" s="1387"/>
      <c r="R129" s="1389"/>
      <c r="S129" s="1395"/>
      <c r="T129" s="1460"/>
      <c r="U129" s="1462"/>
      <c r="V129" s="1464"/>
      <c r="W129" s="1466"/>
      <c r="X129" s="1509"/>
      <c r="Y129" s="1408"/>
      <c r="Z129" s="1509"/>
      <c r="AA129" s="1408"/>
      <c r="AB129" s="1509"/>
      <c r="AC129" s="1408"/>
      <c r="AD129" s="1509"/>
      <c r="AE129" s="1408"/>
      <c r="AF129" s="1408"/>
      <c r="AG129" s="1408"/>
      <c r="AH129" s="1410"/>
      <c r="AI129" s="1497"/>
      <c r="AJ129" s="1511"/>
      <c r="AK129" s="1495"/>
      <c r="AL129" s="1436"/>
      <c r="AM129" s="1499"/>
      <c r="AN129" s="1357"/>
      <c r="AO129" s="1357"/>
      <c r="AP129" s="1359"/>
      <c r="AQ129" s="1357"/>
      <c r="AR129" s="1345"/>
      <c r="AS129" s="1357"/>
      <c r="AT129" s="581" t="str">
        <f t="shared" ref="AT129" si="117">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51"/>
      <c r="AV129" s="1493"/>
      <c r="AW129" s="652" t="str">
        <f>IF('別紙様式2-2（４・５月分）'!O100="","",'別紙様式2-2（４・５月分）'!O100)</f>
        <v/>
      </c>
      <c r="AX129" s="1507"/>
      <c r="AY129" s="163"/>
      <c r="AZ129" s="163"/>
      <c r="BA129" s="163"/>
      <c r="BB129" s="163"/>
      <c r="BC129" s="163"/>
      <c r="BD129" s="163"/>
      <c r="BE129" s="163"/>
      <c r="BF129" s="163"/>
      <c r="BG129" s="163"/>
      <c r="BH129" s="163"/>
      <c r="BI129" s="163"/>
      <c r="BJ129" s="163"/>
      <c r="BK129" s="163"/>
      <c r="BL129" s="543" t="str">
        <f>G126</f>
        <v/>
      </c>
    </row>
    <row r="130" spans="1:64" ht="30" customHeight="1">
      <c r="A130" s="1241">
        <v>30</v>
      </c>
      <c r="B130" s="1271" t="str">
        <f>IF(基本情報入力シート!C83="","",基本情報入力シート!C83)</f>
        <v/>
      </c>
      <c r="C130" s="1259"/>
      <c r="D130" s="1259"/>
      <c r="E130" s="1259"/>
      <c r="F130" s="1260"/>
      <c r="G130" s="1265" t="str">
        <f>IF(基本情報入力シート!M83="","",基本情報入力シート!M83)</f>
        <v/>
      </c>
      <c r="H130" s="1265" t="str">
        <f>IF(基本情報入力シート!R83="","",基本情報入力シート!R83)</f>
        <v/>
      </c>
      <c r="I130" s="1265" t="str">
        <f>IF(基本情報入力シート!W83="","",基本情報入力シート!W83)</f>
        <v/>
      </c>
      <c r="J130" s="1379" t="str">
        <f>IF(基本情報入力シート!X83="","",基本情報入力シート!X83)</f>
        <v/>
      </c>
      <c r="K130" s="1265" t="str">
        <f>IF(基本情報入力シート!Y83="","",基本情報入力シート!Y83)</f>
        <v/>
      </c>
      <c r="L130" s="1246" t="str">
        <f>IF(基本情報入力シート!AB83="","",基本情報入力シート!AB83)</f>
        <v/>
      </c>
      <c r="M130" s="1249" t="str">
        <f>IF(基本情報入力シート!AC83="","",基本情報入力シート!AC83)</f>
        <v/>
      </c>
      <c r="N130" s="647" t="str">
        <f>IF('別紙様式2-2（４・５月分）'!Q101="","",'別紙様式2-2（４・５月分）'!Q101)</f>
        <v/>
      </c>
      <c r="O130" s="1366" t="str">
        <f>IF(SUM('別紙様式2-2（４・５月分）'!R101:R103)=0,"",SUM('別紙様式2-2（４・５月分）'!R101:R103))</f>
        <v/>
      </c>
      <c r="P130" s="1380" t="str">
        <f>IFERROR(VLOOKUP('別紙様式2-2（４・５月分）'!AR101,【参考】数式用!$AT$5:$AU$22,2,FALSE),"")</f>
        <v/>
      </c>
      <c r="Q130" s="1381"/>
      <c r="R130" s="1382"/>
      <c r="S130" s="1392" t="str">
        <f>IFERROR(VLOOKUP(K130,【参考】数式用!$A$5:$AB$27,MATCH(P130,【参考】数式用!$B$4:$AB$4,0)+1,0),"")</f>
        <v/>
      </c>
      <c r="T130" s="1413" t="s">
        <v>2173</v>
      </c>
      <c r="U130" s="1415"/>
      <c r="V130" s="1457" t="str">
        <f>IFERROR(VLOOKUP(K130,【参考】数式用!$A$5:$AB$27,MATCH(U130,【参考】数式用!$B$4:$AB$4,0)+1,0),"")</f>
        <v/>
      </c>
      <c r="W130" s="1350" t="s">
        <v>19</v>
      </c>
      <c r="X130" s="1352">
        <v>6</v>
      </c>
      <c r="Y130" s="1354" t="s">
        <v>10</v>
      </c>
      <c r="Z130" s="1352">
        <v>6</v>
      </c>
      <c r="AA130" s="1354" t="s">
        <v>45</v>
      </c>
      <c r="AB130" s="1352">
        <v>7</v>
      </c>
      <c r="AC130" s="1354" t="s">
        <v>10</v>
      </c>
      <c r="AD130" s="1352">
        <v>3</v>
      </c>
      <c r="AE130" s="1354" t="s">
        <v>13</v>
      </c>
      <c r="AF130" s="1354" t="s">
        <v>24</v>
      </c>
      <c r="AG130" s="1354">
        <f>IF(X130&gt;=1,(AB130*12+AD130)-(X130*12+Z130)+1,"")</f>
        <v>10</v>
      </c>
      <c r="AH130" s="1360" t="s">
        <v>38</v>
      </c>
      <c r="AI130" s="1481" t="str">
        <f>IFERROR(ROUNDDOWN(ROUND(L130*V130,0)*M130,0)*AG130,"")</f>
        <v/>
      </c>
      <c r="AJ130" s="1483" t="str">
        <f>IFERROR(ROUNDDOWN(ROUND((L130*(V130-AX130)),0)*M130,0)*AG130,"")</f>
        <v/>
      </c>
      <c r="AK130" s="1485">
        <f>IFERROR(IF(OR(N130="",N131="",N133=""),0,ROUNDDOWN(ROUNDDOWN(ROUND(L130*VLOOKUP(K130,【参考】数式用!$A$5:$AB$27,MATCH("新加算Ⅳ",【参考】数式用!$B$4:$AB$4,0)+1,0),0)*M130,0)*AG130*0.5,0)),"")</f>
        <v>0</v>
      </c>
      <c r="AL130" s="1433"/>
      <c r="AM130" s="1487">
        <f>IFERROR(IF(OR(N133="ベア加算",N133=""),0, IF(OR(U130="新加算Ⅰ",U130="新加算Ⅱ",U130="新加算Ⅲ",U130="新加算Ⅳ"),ROUNDDOWN(ROUND(L130*VLOOKUP(K130,【参考】数式用!$A$5:$I$27,MATCH("ベア加算",【参考】数式用!$B$4:$I$4,0)+1,0),0)*M130,0)*AG130,0)),"")</f>
        <v>0</v>
      </c>
      <c r="AN130" s="1502"/>
      <c r="AO130" s="1364"/>
      <c r="AP130" s="1403"/>
      <c r="AQ130" s="1403"/>
      <c r="AR130" s="1489"/>
      <c r="AS130" s="1491"/>
      <c r="AT130" s="556" t="str">
        <f t="shared" si="67"/>
        <v/>
      </c>
      <c r="AU130" s="651"/>
      <c r="AV130" s="1493" t="str">
        <f>IF(K130&lt;&gt;"","V列に色付け","")</f>
        <v/>
      </c>
      <c r="AW130" s="652" t="str">
        <f>IF('別紙様式2-2（４・５月分）'!O101="","",'別紙様式2-2（４・５月分）'!O101)</f>
        <v/>
      </c>
      <c r="AX130" s="1507" t="str">
        <f>IF(SUM('別紙様式2-2（４・５月分）'!P101:P103)=0,"",SUM('別紙様式2-2（４・５月分）'!P101:P103))</f>
        <v/>
      </c>
      <c r="AY130" s="1506" t="str">
        <f>IFERROR(VLOOKUP(K130,【参考】数式用!$AJ$2:$AK$24,2,FALSE),"")</f>
        <v/>
      </c>
      <c r="AZ130" s="1321" t="s">
        <v>2098</v>
      </c>
      <c r="BA130" s="1321" t="s">
        <v>2099</v>
      </c>
      <c r="BB130" s="1321" t="s">
        <v>2100</v>
      </c>
      <c r="BC130" s="1321" t="s">
        <v>2101</v>
      </c>
      <c r="BD130" s="1321" t="str">
        <f>IF(AND(P130&lt;&gt;"新加算Ⅰ",P130&lt;&gt;"新加算Ⅱ",P130&lt;&gt;"新加算Ⅲ",P130&lt;&gt;"新加算Ⅳ"),P130,IF(Q132&lt;&gt;"",Q132,""))</f>
        <v/>
      </c>
      <c r="BE130" s="1321"/>
      <c r="BF130" s="1321" t="str">
        <f t="shared" ref="BF130" si="118">IF(AM130&lt;&gt;0,IF(AN130="○","入力済","未入力"),"")</f>
        <v/>
      </c>
      <c r="BG130" s="1321"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321" t="str">
        <f>IF(OR(U130="新加算Ⅴ（７）",U130="新加算Ⅴ（９）",U130="新加算Ⅴ（10）",U130="新加算Ⅴ（12）",U130="新加算Ⅴ（13）",U130="新加算Ⅴ（14）"),IF(OR(AP130="○",AP130="令和６年度中に満たす"),"入力済","未入力"),"")</f>
        <v/>
      </c>
      <c r="BI130" s="1321" t="str">
        <f>IF(OR(U130="新加算Ⅰ",U130="新加算Ⅱ",U130="新加算Ⅲ",U130="新加算Ⅴ（１）",U130="新加算Ⅴ（３）",U130="新加算Ⅴ（８）"),IF(OR(AQ130="○",AQ130="令和６年度中に満たす"),"入力済","未入力"),"")</f>
        <v/>
      </c>
      <c r="BJ130" s="1512"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493" t="str">
        <f>IF(OR(U130="新加算Ⅰ",U130="新加算Ⅴ（１）",U130="新加算Ⅴ（２）",U130="新加算Ⅴ（５）",U130="新加算Ⅴ（７）",U130="新加算Ⅴ（10）"),IF(AS130="","未入力","入力済"),"")</f>
        <v/>
      </c>
      <c r="BL130" s="543" t="str">
        <f>G130</f>
        <v/>
      </c>
    </row>
    <row r="131" spans="1:64" ht="15" customHeight="1">
      <c r="A131" s="1226"/>
      <c r="B131" s="1272"/>
      <c r="C131" s="1261"/>
      <c r="D131" s="1261"/>
      <c r="E131" s="1261"/>
      <c r="F131" s="1262"/>
      <c r="G131" s="1266"/>
      <c r="H131" s="1266"/>
      <c r="I131" s="1266"/>
      <c r="J131" s="1372"/>
      <c r="K131" s="1266"/>
      <c r="L131" s="1247"/>
      <c r="M131" s="1250"/>
      <c r="N131" s="1370" t="str">
        <f>IF('別紙様式2-2（４・５月分）'!Q102="","",'別紙様式2-2（４・５月分）'!Q102)</f>
        <v/>
      </c>
      <c r="O131" s="1367"/>
      <c r="P131" s="1383"/>
      <c r="Q131" s="1384"/>
      <c r="R131" s="1385"/>
      <c r="S131" s="1393"/>
      <c r="T131" s="1414"/>
      <c r="U131" s="1416"/>
      <c r="V131" s="1458"/>
      <c r="W131" s="1351"/>
      <c r="X131" s="1353"/>
      <c r="Y131" s="1355"/>
      <c r="Z131" s="1353"/>
      <c r="AA131" s="1355"/>
      <c r="AB131" s="1353"/>
      <c r="AC131" s="1355"/>
      <c r="AD131" s="1353"/>
      <c r="AE131" s="1355"/>
      <c r="AF131" s="1355"/>
      <c r="AG131" s="1355"/>
      <c r="AH131" s="1361"/>
      <c r="AI131" s="1482"/>
      <c r="AJ131" s="1484"/>
      <c r="AK131" s="1486"/>
      <c r="AL131" s="1434"/>
      <c r="AM131" s="1488"/>
      <c r="AN131" s="1503"/>
      <c r="AO131" s="1365"/>
      <c r="AP131" s="1404"/>
      <c r="AQ131" s="1404"/>
      <c r="AR131" s="1490"/>
      <c r="AS131" s="1492"/>
      <c r="AT131" s="1331" t="str">
        <f t="shared" si="69"/>
        <v/>
      </c>
      <c r="AU131" s="651"/>
      <c r="AV131" s="1493"/>
      <c r="AW131" s="1518" t="str">
        <f>IF('別紙様式2-2（４・５月分）'!O102="","",'別紙様式2-2（４・５月分）'!O102)</f>
        <v/>
      </c>
      <c r="AX131" s="1507"/>
      <c r="AY131" s="1506"/>
      <c r="AZ131" s="1321"/>
      <c r="BA131" s="1321"/>
      <c r="BB131" s="1321"/>
      <c r="BC131" s="1321"/>
      <c r="BD131" s="1321"/>
      <c r="BE131" s="1321"/>
      <c r="BF131" s="1321"/>
      <c r="BG131" s="1321"/>
      <c r="BH131" s="1321"/>
      <c r="BI131" s="1321"/>
      <c r="BJ131" s="1512"/>
      <c r="BK131" s="1493"/>
      <c r="BL131" s="543" t="str">
        <f>G130</f>
        <v/>
      </c>
    </row>
    <row r="132" spans="1:64" ht="15" customHeight="1">
      <c r="A132" s="1240"/>
      <c r="B132" s="1272"/>
      <c r="C132" s="1261"/>
      <c r="D132" s="1261"/>
      <c r="E132" s="1261"/>
      <c r="F132" s="1262"/>
      <c r="G132" s="1266"/>
      <c r="H132" s="1266"/>
      <c r="I132" s="1266"/>
      <c r="J132" s="1372"/>
      <c r="K132" s="1266"/>
      <c r="L132" s="1247"/>
      <c r="M132" s="1250"/>
      <c r="N132" s="1371"/>
      <c r="O132" s="1368"/>
      <c r="P132" s="1390" t="s">
        <v>2179</v>
      </c>
      <c r="Q132" s="1386" t="str">
        <f>IFERROR(VLOOKUP('別紙様式2-2（４・５月分）'!AR101,【参考】数式用!$AT$5:$AV$22,3,FALSE),"")</f>
        <v/>
      </c>
      <c r="R132" s="1388" t="s">
        <v>2190</v>
      </c>
      <c r="S132" s="1396" t="str">
        <f>IFERROR(VLOOKUP(K130,【参考】数式用!$A$5:$AB$27,MATCH(Q132,【参考】数式用!$B$4:$AB$4,0)+1,0),"")</f>
        <v/>
      </c>
      <c r="T132" s="1459" t="s">
        <v>217</v>
      </c>
      <c r="U132" s="1461"/>
      <c r="V132" s="1463" t="str">
        <f>IFERROR(VLOOKUP(K130,【参考】数式用!$A$5:$AB$27,MATCH(U132,【参考】数式用!$B$4:$AB$4,0)+1,0),"")</f>
        <v/>
      </c>
      <c r="W132" s="1465" t="s">
        <v>19</v>
      </c>
      <c r="X132" s="1508">
        <v>7</v>
      </c>
      <c r="Y132" s="1407" t="s">
        <v>10</v>
      </c>
      <c r="Z132" s="1508">
        <v>4</v>
      </c>
      <c r="AA132" s="1407" t="s">
        <v>45</v>
      </c>
      <c r="AB132" s="1508">
        <v>8</v>
      </c>
      <c r="AC132" s="1407" t="s">
        <v>10</v>
      </c>
      <c r="AD132" s="1508">
        <v>3</v>
      </c>
      <c r="AE132" s="1407" t="s">
        <v>13</v>
      </c>
      <c r="AF132" s="1407" t="s">
        <v>24</v>
      </c>
      <c r="AG132" s="1407">
        <f>IF(X132&gt;=1,(AB132*12+AD132)-(X132*12+Z132)+1,"")</f>
        <v>12</v>
      </c>
      <c r="AH132" s="1409" t="s">
        <v>38</v>
      </c>
      <c r="AI132" s="1496" t="str">
        <f>IFERROR(ROUNDDOWN(ROUND(L130*V132,0)*M130,0)*AG132,"")</f>
        <v/>
      </c>
      <c r="AJ132" s="1510" t="str">
        <f>IFERROR(ROUNDDOWN(ROUND((L130*(V132-AX130)),0)*M130,0)*AG132,"")</f>
        <v/>
      </c>
      <c r="AK132" s="1494">
        <f>IFERROR(IF(OR(N130="",N131="",N133=""),0,ROUNDDOWN(ROUNDDOWN(ROUND(L130*VLOOKUP(K130,【参考】数式用!$A$5:$AB$27,MATCH("新加算Ⅳ",【参考】数式用!$B$4:$AB$4,0)+1,0),0)*M130,0)*AG132*0.5,0)),"")</f>
        <v>0</v>
      </c>
      <c r="AL132" s="1435" t="str">
        <f t="shared" ref="AL132" si="119">IF(U132&lt;&gt;"","新規に適用","")</f>
        <v/>
      </c>
      <c r="AM132" s="1498">
        <f>IFERROR(IF(OR(N133="ベア加算",N133=""),0, IF(OR(U130="新加算Ⅰ",U130="新加算Ⅱ",U130="新加算Ⅲ",U130="新加算Ⅳ"),0,ROUNDDOWN(ROUND(L130*VLOOKUP(K130,【参考】数式用!$A$5:$I$27,MATCH("ベア加算",【参考】数式用!$B$4:$I$4,0)+1,0),0)*M130,0)*AG132)),"")</f>
        <v>0</v>
      </c>
      <c r="AN132" s="1356" t="str">
        <f t="shared" ref="AN132" si="120">IF(AM132=0,"",IF(AND(U132&lt;&gt;"",AN130=""),"新規に適用",IF(AND(U132&lt;&gt;"",AN130&lt;&gt;""),"継続で適用","")))</f>
        <v/>
      </c>
      <c r="AO132" s="1356" t="str">
        <f>IF(AND(U132&lt;&gt;"",AO130=""),"新規に適用",IF(AND(U132&lt;&gt;"",AO130&lt;&gt;""),"継続で適用",""))</f>
        <v/>
      </c>
      <c r="AP132" s="1358"/>
      <c r="AQ132" s="1356" t="str">
        <f>IF(AND(U132&lt;&gt;"",AQ130=""),"新規に適用",IF(AND(U132&lt;&gt;"",AQ130&lt;&gt;""),"継続で適用",""))</f>
        <v/>
      </c>
      <c r="AR132" s="1344" t="str">
        <f t="shared" si="92"/>
        <v/>
      </c>
      <c r="AS132" s="1356" t="str">
        <f>IF(AND(U132&lt;&gt;"",AS130=""),"新規に適用",IF(AND(U132&lt;&gt;"",AS130&lt;&gt;""),"継続で適用",""))</f>
        <v/>
      </c>
      <c r="AT132" s="1331"/>
      <c r="AU132" s="651"/>
      <c r="AV132" s="1493" t="str">
        <f>IF(K130&lt;&gt;"","V列に色付け","")</f>
        <v/>
      </c>
      <c r="AW132" s="1518"/>
      <c r="AX132" s="1507"/>
      <c r="AY132" s="163"/>
      <c r="AZ132" s="163"/>
      <c r="BA132" s="163"/>
      <c r="BB132" s="163"/>
      <c r="BC132" s="163"/>
      <c r="BD132" s="163"/>
      <c r="BE132" s="163"/>
      <c r="BF132" s="163"/>
      <c r="BG132" s="163"/>
      <c r="BH132" s="163"/>
      <c r="BI132" s="163"/>
      <c r="BJ132" s="163"/>
      <c r="BK132" s="163"/>
      <c r="BL132" s="543" t="str">
        <f>G130</f>
        <v/>
      </c>
    </row>
    <row r="133" spans="1:64" ht="30" customHeight="1" thickBot="1">
      <c r="A133" s="1227"/>
      <c r="B133" s="1376"/>
      <c r="C133" s="1377"/>
      <c r="D133" s="1377"/>
      <c r="E133" s="1377"/>
      <c r="F133" s="1378"/>
      <c r="G133" s="1267"/>
      <c r="H133" s="1267"/>
      <c r="I133" s="1267"/>
      <c r="J133" s="1373"/>
      <c r="K133" s="1267"/>
      <c r="L133" s="1248"/>
      <c r="M133" s="1251"/>
      <c r="N133" s="650" t="str">
        <f>IF('別紙様式2-2（４・５月分）'!Q103="","",'別紙様式2-2（４・５月分）'!Q103)</f>
        <v/>
      </c>
      <c r="O133" s="1369"/>
      <c r="P133" s="1391"/>
      <c r="Q133" s="1387"/>
      <c r="R133" s="1389"/>
      <c r="S133" s="1395"/>
      <c r="T133" s="1460"/>
      <c r="U133" s="1462"/>
      <c r="V133" s="1464"/>
      <c r="W133" s="1466"/>
      <c r="X133" s="1509"/>
      <c r="Y133" s="1408"/>
      <c r="Z133" s="1509"/>
      <c r="AA133" s="1408"/>
      <c r="AB133" s="1509"/>
      <c r="AC133" s="1408"/>
      <c r="AD133" s="1509"/>
      <c r="AE133" s="1408"/>
      <c r="AF133" s="1408"/>
      <c r="AG133" s="1408"/>
      <c r="AH133" s="1410"/>
      <c r="AI133" s="1497"/>
      <c r="AJ133" s="1511"/>
      <c r="AK133" s="1495"/>
      <c r="AL133" s="1436"/>
      <c r="AM133" s="1499"/>
      <c r="AN133" s="1357"/>
      <c r="AO133" s="1357"/>
      <c r="AP133" s="1359"/>
      <c r="AQ133" s="1357"/>
      <c r="AR133" s="1345"/>
      <c r="AS133" s="1357"/>
      <c r="AT133" s="581" t="str">
        <f t="shared" ref="AT133" si="121">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51"/>
      <c r="AV133" s="1493"/>
      <c r="AW133" s="652" t="str">
        <f>IF('別紙様式2-2（４・５月分）'!O103="","",'別紙様式2-2（４・５月分）'!O103)</f>
        <v/>
      </c>
      <c r="AX133" s="1507"/>
      <c r="AY133" s="163"/>
      <c r="AZ133" s="163"/>
      <c r="BA133" s="163"/>
      <c r="BB133" s="163"/>
      <c r="BC133" s="163"/>
      <c r="BD133" s="163"/>
      <c r="BE133" s="163"/>
      <c r="BF133" s="163"/>
      <c r="BG133" s="163"/>
      <c r="BH133" s="163"/>
      <c r="BI133" s="163"/>
      <c r="BJ133" s="163"/>
      <c r="BK133" s="163"/>
      <c r="BL133" s="543" t="str">
        <f>G130</f>
        <v/>
      </c>
    </row>
    <row r="134" spans="1:64" ht="30" customHeight="1">
      <c r="A134" s="1225">
        <v>31</v>
      </c>
      <c r="B134" s="1272" t="str">
        <f>IF(基本情報入力シート!C84="","",基本情報入力シート!C84)</f>
        <v/>
      </c>
      <c r="C134" s="1261"/>
      <c r="D134" s="1261"/>
      <c r="E134" s="1261"/>
      <c r="F134" s="1262"/>
      <c r="G134" s="1266" t="str">
        <f>IF(基本情報入力シート!M84="","",基本情報入力シート!M84)</f>
        <v/>
      </c>
      <c r="H134" s="1266" t="str">
        <f>IF(基本情報入力シート!R84="","",基本情報入力シート!R84)</f>
        <v/>
      </c>
      <c r="I134" s="1266" t="str">
        <f>IF(基本情報入力シート!W84="","",基本情報入力シート!W84)</f>
        <v/>
      </c>
      <c r="J134" s="1372" t="str">
        <f>IF(基本情報入力シート!X84="","",基本情報入力シート!X84)</f>
        <v/>
      </c>
      <c r="K134" s="1266" t="str">
        <f>IF(基本情報入力シート!Y84="","",基本情報入力シート!Y84)</f>
        <v/>
      </c>
      <c r="L134" s="1247" t="str">
        <f>IF(基本情報入力シート!AB84="","",基本情報入力シート!AB84)</f>
        <v/>
      </c>
      <c r="M134" s="1374" t="str">
        <f>IF(基本情報入力シート!AC84="","",基本情報入力シート!AC84)</f>
        <v/>
      </c>
      <c r="N134" s="647" t="str">
        <f>IF('別紙様式2-2（４・５月分）'!Q104="","",'別紙様式2-2（４・５月分）'!Q104)</f>
        <v/>
      </c>
      <c r="O134" s="1366" t="str">
        <f>IF(SUM('別紙様式2-2（４・５月分）'!R104:R106)=0,"",SUM('別紙様式2-2（４・５月分）'!R104:R106))</f>
        <v/>
      </c>
      <c r="P134" s="1380" t="str">
        <f>IFERROR(VLOOKUP('別紙様式2-2（４・５月分）'!AR104,【参考】数式用!$AT$5:$AU$22,2,FALSE),"")</f>
        <v/>
      </c>
      <c r="Q134" s="1381"/>
      <c r="R134" s="1382"/>
      <c r="S134" s="1392" t="str">
        <f>IFERROR(VLOOKUP(K134,【参考】数式用!$A$5:$AB$27,MATCH(P134,【参考】数式用!$B$4:$AB$4,0)+1,0),"")</f>
        <v/>
      </c>
      <c r="T134" s="1413" t="s">
        <v>2173</v>
      </c>
      <c r="U134" s="1415"/>
      <c r="V134" s="1457" t="str">
        <f>IFERROR(VLOOKUP(K134,【参考】数式用!$A$5:$AB$27,MATCH(U134,【参考】数式用!$B$4:$AB$4,0)+1,0),"")</f>
        <v/>
      </c>
      <c r="W134" s="1350" t="s">
        <v>19</v>
      </c>
      <c r="X134" s="1352">
        <v>6</v>
      </c>
      <c r="Y134" s="1354" t="s">
        <v>10</v>
      </c>
      <c r="Z134" s="1352">
        <v>6</v>
      </c>
      <c r="AA134" s="1354" t="s">
        <v>45</v>
      </c>
      <c r="AB134" s="1352">
        <v>7</v>
      </c>
      <c r="AC134" s="1354" t="s">
        <v>10</v>
      </c>
      <c r="AD134" s="1352">
        <v>3</v>
      </c>
      <c r="AE134" s="1354" t="s">
        <v>13</v>
      </c>
      <c r="AF134" s="1354" t="s">
        <v>24</v>
      </c>
      <c r="AG134" s="1354">
        <f>IF(X134&gt;=1,(AB134*12+AD134)-(X134*12+Z134)+1,"")</f>
        <v>10</v>
      </c>
      <c r="AH134" s="1360" t="s">
        <v>38</v>
      </c>
      <c r="AI134" s="1481" t="str">
        <f>IFERROR(ROUNDDOWN(ROUND(L134*V134,0)*M134,0)*AG134,"")</f>
        <v/>
      </c>
      <c r="AJ134" s="1483" t="str">
        <f>IFERROR(ROUNDDOWN(ROUND((L134*(V134-AX134)),0)*M134,0)*AG134,"")</f>
        <v/>
      </c>
      <c r="AK134" s="1485">
        <f>IFERROR(IF(OR(N134="",N135="",N137=""),0,ROUNDDOWN(ROUNDDOWN(ROUND(L134*VLOOKUP(K134,【参考】数式用!$A$5:$AB$27,MATCH("新加算Ⅳ",【参考】数式用!$B$4:$AB$4,0)+1,0),0)*M134,0)*AG134*0.5,0)),"")</f>
        <v>0</v>
      </c>
      <c r="AL134" s="1433"/>
      <c r="AM134" s="1487">
        <f>IFERROR(IF(OR(N137="ベア加算",N137=""),0, IF(OR(U134="新加算Ⅰ",U134="新加算Ⅱ",U134="新加算Ⅲ",U134="新加算Ⅳ"),ROUNDDOWN(ROUND(L134*VLOOKUP(K134,【参考】数式用!$A$5:$I$27,MATCH("ベア加算",【参考】数式用!$B$4:$I$4,0)+1,0),0)*M134,0)*AG134,0)),"")</f>
        <v>0</v>
      </c>
      <c r="AN134" s="1502"/>
      <c r="AO134" s="1364"/>
      <c r="AP134" s="1403"/>
      <c r="AQ134" s="1403"/>
      <c r="AR134" s="1489"/>
      <c r="AS134" s="1491"/>
      <c r="AT134" s="556" t="str">
        <f t="shared" si="67"/>
        <v/>
      </c>
      <c r="AU134" s="651"/>
      <c r="AV134" s="1493" t="str">
        <f>IF(K134&lt;&gt;"","V列に色付け","")</f>
        <v/>
      </c>
      <c r="AW134" s="652" t="str">
        <f>IF('別紙様式2-2（４・５月分）'!O104="","",'別紙様式2-2（４・５月分）'!O104)</f>
        <v/>
      </c>
      <c r="AX134" s="1507" t="str">
        <f>IF(SUM('別紙様式2-2（４・５月分）'!P104:P106)=0,"",SUM('別紙様式2-2（４・５月分）'!P104:P106))</f>
        <v/>
      </c>
      <c r="AY134" s="1506" t="str">
        <f>IFERROR(VLOOKUP(K134,【参考】数式用!$AJ$2:$AK$24,2,FALSE),"")</f>
        <v/>
      </c>
      <c r="AZ134" s="1321" t="s">
        <v>2098</v>
      </c>
      <c r="BA134" s="1321" t="s">
        <v>2099</v>
      </c>
      <c r="BB134" s="1321" t="s">
        <v>2100</v>
      </c>
      <c r="BC134" s="1321" t="s">
        <v>2101</v>
      </c>
      <c r="BD134" s="1321" t="str">
        <f>IF(AND(P134&lt;&gt;"新加算Ⅰ",P134&lt;&gt;"新加算Ⅱ",P134&lt;&gt;"新加算Ⅲ",P134&lt;&gt;"新加算Ⅳ"),P134,IF(Q136&lt;&gt;"",Q136,""))</f>
        <v/>
      </c>
      <c r="BE134" s="1321"/>
      <c r="BF134" s="1321" t="str">
        <f t="shared" ref="BF134" si="122">IF(AM134&lt;&gt;0,IF(AN134="○","入力済","未入力"),"")</f>
        <v/>
      </c>
      <c r="BG134" s="1321"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321" t="str">
        <f>IF(OR(U134="新加算Ⅴ（７）",U134="新加算Ⅴ（９）",U134="新加算Ⅴ（10）",U134="新加算Ⅴ（12）",U134="新加算Ⅴ（13）",U134="新加算Ⅴ（14）"),IF(OR(AP134="○",AP134="令和６年度中に満たす"),"入力済","未入力"),"")</f>
        <v/>
      </c>
      <c r="BI134" s="1321" t="str">
        <f>IF(OR(U134="新加算Ⅰ",U134="新加算Ⅱ",U134="新加算Ⅲ",U134="新加算Ⅴ（１）",U134="新加算Ⅴ（３）",U134="新加算Ⅴ（８）"),IF(OR(AQ134="○",AQ134="令和６年度中に満たす"),"入力済","未入力"),"")</f>
        <v/>
      </c>
      <c r="BJ134" s="1512"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493" t="str">
        <f>IF(OR(U134="新加算Ⅰ",U134="新加算Ⅴ（１）",U134="新加算Ⅴ（２）",U134="新加算Ⅴ（５）",U134="新加算Ⅴ（７）",U134="新加算Ⅴ（10）"),IF(AS134="","未入力","入力済"),"")</f>
        <v/>
      </c>
      <c r="BL134" s="543" t="str">
        <f>G134</f>
        <v/>
      </c>
    </row>
    <row r="135" spans="1:64" ht="15" customHeight="1">
      <c r="A135" s="1226"/>
      <c r="B135" s="1272"/>
      <c r="C135" s="1261"/>
      <c r="D135" s="1261"/>
      <c r="E135" s="1261"/>
      <c r="F135" s="1262"/>
      <c r="G135" s="1266"/>
      <c r="H135" s="1266"/>
      <c r="I135" s="1266"/>
      <c r="J135" s="1372"/>
      <c r="K135" s="1266"/>
      <c r="L135" s="1247"/>
      <c r="M135" s="1374"/>
      <c r="N135" s="1370" t="str">
        <f>IF('別紙様式2-2（４・５月分）'!Q105="","",'別紙様式2-2（４・５月分）'!Q105)</f>
        <v/>
      </c>
      <c r="O135" s="1367"/>
      <c r="P135" s="1383"/>
      <c r="Q135" s="1384"/>
      <c r="R135" s="1385"/>
      <c r="S135" s="1393"/>
      <c r="T135" s="1414"/>
      <c r="U135" s="1416"/>
      <c r="V135" s="1458"/>
      <c r="W135" s="1351"/>
      <c r="X135" s="1353"/>
      <c r="Y135" s="1355"/>
      <c r="Z135" s="1353"/>
      <c r="AA135" s="1355"/>
      <c r="AB135" s="1353"/>
      <c r="AC135" s="1355"/>
      <c r="AD135" s="1353"/>
      <c r="AE135" s="1355"/>
      <c r="AF135" s="1355"/>
      <c r="AG135" s="1355"/>
      <c r="AH135" s="1361"/>
      <c r="AI135" s="1482"/>
      <c r="AJ135" s="1484"/>
      <c r="AK135" s="1486"/>
      <c r="AL135" s="1434"/>
      <c r="AM135" s="1488"/>
      <c r="AN135" s="1503"/>
      <c r="AO135" s="1365"/>
      <c r="AP135" s="1404"/>
      <c r="AQ135" s="1404"/>
      <c r="AR135" s="1490"/>
      <c r="AS135" s="1492"/>
      <c r="AT135" s="1331" t="str">
        <f t="shared" si="69"/>
        <v/>
      </c>
      <c r="AU135" s="651"/>
      <c r="AV135" s="1493"/>
      <c r="AW135" s="1518" t="str">
        <f>IF('別紙様式2-2（４・５月分）'!O105="","",'別紙様式2-2（４・５月分）'!O105)</f>
        <v/>
      </c>
      <c r="AX135" s="1507"/>
      <c r="AY135" s="1506"/>
      <c r="AZ135" s="1321"/>
      <c r="BA135" s="1321"/>
      <c r="BB135" s="1321"/>
      <c r="BC135" s="1321"/>
      <c r="BD135" s="1321"/>
      <c r="BE135" s="1321"/>
      <c r="BF135" s="1321"/>
      <c r="BG135" s="1321"/>
      <c r="BH135" s="1321"/>
      <c r="BI135" s="1321"/>
      <c r="BJ135" s="1512"/>
      <c r="BK135" s="1493"/>
      <c r="BL135" s="543" t="str">
        <f>G134</f>
        <v/>
      </c>
    </row>
    <row r="136" spans="1:64" ht="15" customHeight="1">
      <c r="A136" s="1240"/>
      <c r="B136" s="1272"/>
      <c r="C136" s="1261"/>
      <c r="D136" s="1261"/>
      <c r="E136" s="1261"/>
      <c r="F136" s="1262"/>
      <c r="G136" s="1266"/>
      <c r="H136" s="1266"/>
      <c r="I136" s="1266"/>
      <c r="J136" s="1372"/>
      <c r="K136" s="1266"/>
      <c r="L136" s="1247"/>
      <c r="M136" s="1374"/>
      <c r="N136" s="1371"/>
      <c r="O136" s="1368"/>
      <c r="P136" s="1390" t="s">
        <v>2179</v>
      </c>
      <c r="Q136" s="1386" t="str">
        <f>IFERROR(VLOOKUP('別紙様式2-2（４・５月分）'!AR104,【参考】数式用!$AT$5:$AV$22,3,FALSE),"")</f>
        <v/>
      </c>
      <c r="R136" s="1388" t="s">
        <v>2190</v>
      </c>
      <c r="S136" s="1394" t="str">
        <f>IFERROR(VLOOKUP(K134,【参考】数式用!$A$5:$AB$27,MATCH(Q136,【参考】数式用!$B$4:$AB$4,0)+1,0),"")</f>
        <v/>
      </c>
      <c r="T136" s="1459" t="s">
        <v>217</v>
      </c>
      <c r="U136" s="1461"/>
      <c r="V136" s="1463" t="str">
        <f>IFERROR(VLOOKUP(K134,【参考】数式用!$A$5:$AB$27,MATCH(U136,【参考】数式用!$B$4:$AB$4,0)+1,0),"")</f>
        <v/>
      </c>
      <c r="W136" s="1465" t="s">
        <v>19</v>
      </c>
      <c r="X136" s="1508">
        <v>7</v>
      </c>
      <c r="Y136" s="1407" t="s">
        <v>10</v>
      </c>
      <c r="Z136" s="1508">
        <v>4</v>
      </c>
      <c r="AA136" s="1407" t="s">
        <v>45</v>
      </c>
      <c r="AB136" s="1508">
        <v>8</v>
      </c>
      <c r="AC136" s="1407" t="s">
        <v>10</v>
      </c>
      <c r="AD136" s="1508">
        <v>3</v>
      </c>
      <c r="AE136" s="1407" t="s">
        <v>13</v>
      </c>
      <c r="AF136" s="1407" t="s">
        <v>24</v>
      </c>
      <c r="AG136" s="1407">
        <f>IF(X136&gt;=1,(AB136*12+AD136)-(X136*12+Z136)+1,"")</f>
        <v>12</v>
      </c>
      <c r="AH136" s="1409" t="s">
        <v>38</v>
      </c>
      <c r="AI136" s="1496" t="str">
        <f>IFERROR(ROUNDDOWN(ROUND(L134*V136,0)*M134,0)*AG136,"")</f>
        <v/>
      </c>
      <c r="AJ136" s="1510" t="str">
        <f>IFERROR(ROUNDDOWN(ROUND((L134*(V136-AX134)),0)*M134,0)*AG136,"")</f>
        <v/>
      </c>
      <c r="AK136" s="1494">
        <f>IFERROR(IF(OR(N134="",N135="",N137=""),0,ROUNDDOWN(ROUNDDOWN(ROUND(L134*VLOOKUP(K134,【参考】数式用!$A$5:$AB$27,MATCH("新加算Ⅳ",【参考】数式用!$B$4:$AB$4,0)+1,0),0)*M134,0)*AG136*0.5,0)),"")</f>
        <v>0</v>
      </c>
      <c r="AL136" s="1435" t="str">
        <f t="shared" ref="AL136" si="123">IF(U136&lt;&gt;"","新規に適用","")</f>
        <v/>
      </c>
      <c r="AM136" s="1498">
        <f>IFERROR(IF(OR(N137="ベア加算",N137=""),0, IF(OR(U134="新加算Ⅰ",U134="新加算Ⅱ",U134="新加算Ⅲ",U134="新加算Ⅳ"),0,ROUNDDOWN(ROUND(L134*VLOOKUP(K134,【参考】数式用!$A$5:$I$27,MATCH("ベア加算",【参考】数式用!$B$4:$I$4,0)+1,0),0)*M134,0)*AG136)),"")</f>
        <v>0</v>
      </c>
      <c r="AN136" s="1356" t="str">
        <f t="shared" ref="AN136" si="124">IF(AM136=0,"",IF(AND(U136&lt;&gt;"",AN134=""),"新規に適用",IF(AND(U136&lt;&gt;"",AN134&lt;&gt;""),"継続で適用","")))</f>
        <v/>
      </c>
      <c r="AO136" s="1356" t="str">
        <f>IF(AND(U136&lt;&gt;"",AO134=""),"新規に適用",IF(AND(U136&lt;&gt;"",AO134&lt;&gt;""),"継続で適用",""))</f>
        <v/>
      </c>
      <c r="AP136" s="1358"/>
      <c r="AQ136" s="1356" t="str">
        <f>IF(AND(U136&lt;&gt;"",AQ134=""),"新規に適用",IF(AND(U136&lt;&gt;"",AQ134&lt;&gt;""),"継続で適用",""))</f>
        <v/>
      </c>
      <c r="AR136" s="1344" t="str">
        <f t="shared" si="92"/>
        <v/>
      </c>
      <c r="AS136" s="1356" t="str">
        <f>IF(AND(U136&lt;&gt;"",AS134=""),"新規に適用",IF(AND(U136&lt;&gt;"",AS134&lt;&gt;""),"継続で適用",""))</f>
        <v/>
      </c>
      <c r="AT136" s="1331"/>
      <c r="AU136" s="651"/>
      <c r="AV136" s="1493" t="str">
        <f>IF(K134&lt;&gt;"","V列に色付け","")</f>
        <v/>
      </c>
      <c r="AW136" s="1518"/>
      <c r="AX136" s="1507"/>
      <c r="AY136" s="163"/>
      <c r="AZ136" s="163"/>
      <c r="BA136" s="163"/>
      <c r="BB136" s="163"/>
      <c r="BC136" s="163"/>
      <c r="BD136" s="163"/>
      <c r="BE136" s="163"/>
      <c r="BF136" s="163"/>
      <c r="BG136" s="163"/>
      <c r="BH136" s="163"/>
      <c r="BI136" s="163"/>
      <c r="BJ136" s="163"/>
      <c r="BK136" s="163"/>
      <c r="BL136" s="543" t="str">
        <f>G134</f>
        <v/>
      </c>
    </row>
    <row r="137" spans="1:64" ht="30" customHeight="1" thickBot="1">
      <c r="A137" s="1227"/>
      <c r="B137" s="1376"/>
      <c r="C137" s="1377"/>
      <c r="D137" s="1377"/>
      <c r="E137" s="1377"/>
      <c r="F137" s="1378"/>
      <c r="G137" s="1267"/>
      <c r="H137" s="1267"/>
      <c r="I137" s="1267"/>
      <c r="J137" s="1373"/>
      <c r="K137" s="1267"/>
      <c r="L137" s="1248"/>
      <c r="M137" s="1375"/>
      <c r="N137" s="650" t="str">
        <f>IF('別紙様式2-2（４・５月分）'!Q106="","",'別紙様式2-2（４・５月分）'!Q106)</f>
        <v/>
      </c>
      <c r="O137" s="1369"/>
      <c r="P137" s="1391"/>
      <c r="Q137" s="1387"/>
      <c r="R137" s="1389"/>
      <c r="S137" s="1395"/>
      <c r="T137" s="1460"/>
      <c r="U137" s="1462"/>
      <c r="V137" s="1464"/>
      <c r="W137" s="1466"/>
      <c r="X137" s="1509"/>
      <c r="Y137" s="1408"/>
      <c r="Z137" s="1509"/>
      <c r="AA137" s="1408"/>
      <c r="AB137" s="1509"/>
      <c r="AC137" s="1408"/>
      <c r="AD137" s="1509"/>
      <c r="AE137" s="1408"/>
      <c r="AF137" s="1408"/>
      <c r="AG137" s="1408"/>
      <c r="AH137" s="1410"/>
      <c r="AI137" s="1497"/>
      <c r="AJ137" s="1511"/>
      <c r="AK137" s="1495"/>
      <c r="AL137" s="1436"/>
      <c r="AM137" s="1499"/>
      <c r="AN137" s="1357"/>
      <c r="AO137" s="1357"/>
      <c r="AP137" s="1359"/>
      <c r="AQ137" s="1357"/>
      <c r="AR137" s="1345"/>
      <c r="AS137" s="1357"/>
      <c r="AT137" s="581" t="str">
        <f t="shared" ref="AT137" si="125">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51"/>
      <c r="AV137" s="1493"/>
      <c r="AW137" s="652" t="str">
        <f>IF('別紙様式2-2（４・５月分）'!O106="","",'別紙様式2-2（４・５月分）'!O106)</f>
        <v/>
      </c>
      <c r="AX137" s="1507"/>
      <c r="AY137" s="163"/>
      <c r="AZ137" s="163"/>
      <c r="BA137" s="163"/>
      <c r="BB137" s="163"/>
      <c r="BC137" s="163"/>
      <c r="BD137" s="163"/>
      <c r="BE137" s="163"/>
      <c r="BF137" s="163"/>
      <c r="BG137" s="163"/>
      <c r="BH137" s="163"/>
      <c r="BI137" s="163"/>
      <c r="BJ137" s="163"/>
      <c r="BK137" s="163"/>
      <c r="BL137" s="543" t="str">
        <f>G134</f>
        <v/>
      </c>
    </row>
    <row r="138" spans="1:64" ht="30" customHeight="1">
      <c r="A138" s="1241">
        <v>32</v>
      </c>
      <c r="B138" s="1271" t="str">
        <f>IF(基本情報入力シート!C85="","",基本情報入力シート!C85)</f>
        <v/>
      </c>
      <c r="C138" s="1259"/>
      <c r="D138" s="1259"/>
      <c r="E138" s="1259"/>
      <c r="F138" s="1260"/>
      <c r="G138" s="1265" t="str">
        <f>IF(基本情報入力シート!M85="","",基本情報入力シート!M85)</f>
        <v/>
      </c>
      <c r="H138" s="1265" t="str">
        <f>IF(基本情報入力シート!R85="","",基本情報入力シート!R85)</f>
        <v/>
      </c>
      <c r="I138" s="1265" t="str">
        <f>IF(基本情報入力シート!W85="","",基本情報入力シート!W85)</f>
        <v/>
      </c>
      <c r="J138" s="1379" t="str">
        <f>IF(基本情報入力シート!X85="","",基本情報入力シート!X85)</f>
        <v/>
      </c>
      <c r="K138" s="1265" t="str">
        <f>IF(基本情報入力シート!Y85="","",基本情報入力シート!Y85)</f>
        <v/>
      </c>
      <c r="L138" s="1246" t="str">
        <f>IF(基本情報入力シート!AB85="","",基本情報入力シート!AB85)</f>
        <v/>
      </c>
      <c r="M138" s="1249" t="str">
        <f>IF(基本情報入力シート!AC85="","",基本情報入力シート!AC85)</f>
        <v/>
      </c>
      <c r="N138" s="647" t="str">
        <f>IF('別紙様式2-2（４・５月分）'!Q107="","",'別紙様式2-2（４・５月分）'!Q107)</f>
        <v/>
      </c>
      <c r="O138" s="1366" t="str">
        <f>IF(SUM('別紙様式2-2（４・５月分）'!R107:R109)=0,"",SUM('別紙様式2-2（４・５月分）'!R107:R109))</f>
        <v/>
      </c>
      <c r="P138" s="1380" t="str">
        <f>IFERROR(VLOOKUP('別紙様式2-2（４・５月分）'!AR107,【参考】数式用!$AT$5:$AU$22,2,FALSE),"")</f>
        <v/>
      </c>
      <c r="Q138" s="1381"/>
      <c r="R138" s="1382"/>
      <c r="S138" s="1392" t="str">
        <f>IFERROR(VLOOKUP(K138,【参考】数式用!$A$5:$AB$27,MATCH(P138,【参考】数式用!$B$4:$AB$4,0)+1,0),"")</f>
        <v/>
      </c>
      <c r="T138" s="1413" t="s">
        <v>2173</v>
      </c>
      <c r="U138" s="1415"/>
      <c r="V138" s="1457" t="str">
        <f>IFERROR(VLOOKUP(K138,【参考】数式用!$A$5:$AB$27,MATCH(U138,【参考】数式用!$B$4:$AB$4,0)+1,0),"")</f>
        <v/>
      </c>
      <c r="W138" s="1350" t="s">
        <v>19</v>
      </c>
      <c r="X138" s="1352">
        <v>6</v>
      </c>
      <c r="Y138" s="1354" t="s">
        <v>10</v>
      </c>
      <c r="Z138" s="1352">
        <v>6</v>
      </c>
      <c r="AA138" s="1354" t="s">
        <v>45</v>
      </c>
      <c r="AB138" s="1352">
        <v>7</v>
      </c>
      <c r="AC138" s="1354" t="s">
        <v>10</v>
      </c>
      <c r="AD138" s="1352">
        <v>3</v>
      </c>
      <c r="AE138" s="1354" t="s">
        <v>13</v>
      </c>
      <c r="AF138" s="1354" t="s">
        <v>24</v>
      </c>
      <c r="AG138" s="1354">
        <f>IF(X138&gt;=1,(AB138*12+AD138)-(X138*12+Z138)+1,"")</f>
        <v>10</v>
      </c>
      <c r="AH138" s="1360" t="s">
        <v>38</v>
      </c>
      <c r="AI138" s="1481" t="str">
        <f>IFERROR(ROUNDDOWN(ROUND(L138*V138,0)*M138,0)*AG138,"")</f>
        <v/>
      </c>
      <c r="AJ138" s="1483" t="str">
        <f>IFERROR(ROUNDDOWN(ROUND((L138*(V138-AX138)),0)*M138,0)*AG138,"")</f>
        <v/>
      </c>
      <c r="AK138" s="1485">
        <f>IFERROR(IF(OR(N138="",N139="",N141=""),0,ROUNDDOWN(ROUNDDOWN(ROUND(L138*VLOOKUP(K138,【参考】数式用!$A$5:$AB$27,MATCH("新加算Ⅳ",【参考】数式用!$B$4:$AB$4,0)+1,0),0)*M138,0)*AG138*0.5,0)),"")</f>
        <v>0</v>
      </c>
      <c r="AL138" s="1433"/>
      <c r="AM138" s="1487">
        <f>IFERROR(IF(OR(N141="ベア加算",N141=""),0, IF(OR(U138="新加算Ⅰ",U138="新加算Ⅱ",U138="新加算Ⅲ",U138="新加算Ⅳ"),ROUNDDOWN(ROUND(L138*VLOOKUP(K138,【参考】数式用!$A$5:$I$27,MATCH("ベア加算",【参考】数式用!$B$4:$I$4,0)+1,0),0)*M138,0)*AG138,0)),"")</f>
        <v>0</v>
      </c>
      <c r="AN138" s="1502"/>
      <c r="AO138" s="1364"/>
      <c r="AP138" s="1403"/>
      <c r="AQ138" s="1403"/>
      <c r="AR138" s="1489"/>
      <c r="AS138" s="1491"/>
      <c r="AT138" s="556" t="str">
        <f t="shared" si="67"/>
        <v/>
      </c>
      <c r="AU138" s="651"/>
      <c r="AV138" s="1493" t="str">
        <f>IF(K138&lt;&gt;"","V列に色付け","")</f>
        <v/>
      </c>
      <c r="AW138" s="652" t="str">
        <f>IF('別紙様式2-2（４・５月分）'!O107="","",'別紙様式2-2（４・５月分）'!O107)</f>
        <v/>
      </c>
      <c r="AX138" s="1507" t="str">
        <f>IF(SUM('別紙様式2-2（４・５月分）'!P107:P109)=0,"",SUM('別紙様式2-2（４・５月分）'!P107:P109))</f>
        <v/>
      </c>
      <c r="AY138" s="1506" t="str">
        <f>IFERROR(VLOOKUP(K138,【参考】数式用!$AJ$2:$AK$24,2,FALSE),"")</f>
        <v/>
      </c>
      <c r="AZ138" s="1321" t="s">
        <v>2098</v>
      </c>
      <c r="BA138" s="1321" t="s">
        <v>2099</v>
      </c>
      <c r="BB138" s="1321" t="s">
        <v>2100</v>
      </c>
      <c r="BC138" s="1321" t="s">
        <v>2101</v>
      </c>
      <c r="BD138" s="1321" t="str">
        <f>IF(AND(P138&lt;&gt;"新加算Ⅰ",P138&lt;&gt;"新加算Ⅱ",P138&lt;&gt;"新加算Ⅲ",P138&lt;&gt;"新加算Ⅳ"),P138,IF(Q140&lt;&gt;"",Q140,""))</f>
        <v/>
      </c>
      <c r="BE138" s="1321"/>
      <c r="BF138" s="1321" t="str">
        <f t="shared" ref="BF138" si="126">IF(AM138&lt;&gt;0,IF(AN138="○","入力済","未入力"),"")</f>
        <v/>
      </c>
      <c r="BG138" s="1321"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321" t="str">
        <f>IF(OR(U138="新加算Ⅴ（７）",U138="新加算Ⅴ（９）",U138="新加算Ⅴ（10）",U138="新加算Ⅴ（12）",U138="新加算Ⅴ（13）",U138="新加算Ⅴ（14）"),IF(OR(AP138="○",AP138="令和６年度中に満たす"),"入力済","未入力"),"")</f>
        <v/>
      </c>
      <c r="BI138" s="1321" t="str">
        <f>IF(OR(U138="新加算Ⅰ",U138="新加算Ⅱ",U138="新加算Ⅲ",U138="新加算Ⅴ（１）",U138="新加算Ⅴ（３）",U138="新加算Ⅴ（８）"),IF(OR(AQ138="○",AQ138="令和６年度中に満たす"),"入力済","未入力"),"")</f>
        <v/>
      </c>
      <c r="BJ138" s="1512"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493" t="str">
        <f>IF(OR(U138="新加算Ⅰ",U138="新加算Ⅴ（１）",U138="新加算Ⅴ（２）",U138="新加算Ⅴ（５）",U138="新加算Ⅴ（７）",U138="新加算Ⅴ（10）"),IF(AS138="","未入力","入力済"),"")</f>
        <v/>
      </c>
      <c r="BL138" s="543" t="str">
        <f>G138</f>
        <v/>
      </c>
    </row>
    <row r="139" spans="1:64" ht="15" customHeight="1">
      <c r="A139" s="1226"/>
      <c r="B139" s="1272"/>
      <c r="C139" s="1261"/>
      <c r="D139" s="1261"/>
      <c r="E139" s="1261"/>
      <c r="F139" s="1262"/>
      <c r="G139" s="1266"/>
      <c r="H139" s="1266"/>
      <c r="I139" s="1266"/>
      <c r="J139" s="1372"/>
      <c r="K139" s="1266"/>
      <c r="L139" s="1247"/>
      <c r="M139" s="1250"/>
      <c r="N139" s="1370" t="str">
        <f>IF('別紙様式2-2（４・５月分）'!Q108="","",'別紙様式2-2（４・５月分）'!Q108)</f>
        <v/>
      </c>
      <c r="O139" s="1367"/>
      <c r="P139" s="1383"/>
      <c r="Q139" s="1384"/>
      <c r="R139" s="1385"/>
      <c r="S139" s="1393"/>
      <c r="T139" s="1414"/>
      <c r="U139" s="1416"/>
      <c r="V139" s="1458"/>
      <c r="W139" s="1351"/>
      <c r="X139" s="1353"/>
      <c r="Y139" s="1355"/>
      <c r="Z139" s="1353"/>
      <c r="AA139" s="1355"/>
      <c r="AB139" s="1353"/>
      <c r="AC139" s="1355"/>
      <c r="AD139" s="1353"/>
      <c r="AE139" s="1355"/>
      <c r="AF139" s="1355"/>
      <c r="AG139" s="1355"/>
      <c r="AH139" s="1361"/>
      <c r="AI139" s="1482"/>
      <c r="AJ139" s="1484"/>
      <c r="AK139" s="1486"/>
      <c r="AL139" s="1434"/>
      <c r="AM139" s="1488"/>
      <c r="AN139" s="1503"/>
      <c r="AO139" s="1365"/>
      <c r="AP139" s="1404"/>
      <c r="AQ139" s="1404"/>
      <c r="AR139" s="1490"/>
      <c r="AS139" s="1492"/>
      <c r="AT139" s="1331" t="str">
        <f t="shared" si="69"/>
        <v/>
      </c>
      <c r="AU139" s="651"/>
      <c r="AV139" s="1493"/>
      <c r="AW139" s="1518" t="str">
        <f>IF('別紙様式2-2（４・５月分）'!O108="","",'別紙様式2-2（４・５月分）'!O108)</f>
        <v/>
      </c>
      <c r="AX139" s="1507"/>
      <c r="AY139" s="1506"/>
      <c r="AZ139" s="1321"/>
      <c r="BA139" s="1321"/>
      <c r="BB139" s="1321"/>
      <c r="BC139" s="1321"/>
      <c r="BD139" s="1321"/>
      <c r="BE139" s="1321"/>
      <c r="BF139" s="1321"/>
      <c r="BG139" s="1321"/>
      <c r="BH139" s="1321"/>
      <c r="BI139" s="1321"/>
      <c r="BJ139" s="1512"/>
      <c r="BK139" s="1493"/>
      <c r="BL139" s="543" t="str">
        <f>G138</f>
        <v/>
      </c>
    </row>
    <row r="140" spans="1:64" ht="15" customHeight="1">
      <c r="A140" s="1240"/>
      <c r="B140" s="1272"/>
      <c r="C140" s="1261"/>
      <c r="D140" s="1261"/>
      <c r="E140" s="1261"/>
      <c r="F140" s="1262"/>
      <c r="G140" s="1266"/>
      <c r="H140" s="1266"/>
      <c r="I140" s="1266"/>
      <c r="J140" s="1372"/>
      <c r="K140" s="1266"/>
      <c r="L140" s="1247"/>
      <c r="M140" s="1250"/>
      <c r="N140" s="1371"/>
      <c r="O140" s="1368"/>
      <c r="P140" s="1390" t="s">
        <v>2179</v>
      </c>
      <c r="Q140" s="1386" t="str">
        <f>IFERROR(VLOOKUP('別紙様式2-2（４・５月分）'!AR107,【参考】数式用!$AT$5:$AV$22,3,FALSE),"")</f>
        <v/>
      </c>
      <c r="R140" s="1388" t="s">
        <v>2190</v>
      </c>
      <c r="S140" s="1396" t="str">
        <f>IFERROR(VLOOKUP(K138,【参考】数式用!$A$5:$AB$27,MATCH(Q140,【参考】数式用!$B$4:$AB$4,0)+1,0),"")</f>
        <v/>
      </c>
      <c r="T140" s="1459" t="s">
        <v>217</v>
      </c>
      <c r="U140" s="1461"/>
      <c r="V140" s="1463" t="str">
        <f>IFERROR(VLOOKUP(K138,【参考】数式用!$A$5:$AB$27,MATCH(U140,【参考】数式用!$B$4:$AB$4,0)+1,0),"")</f>
        <v/>
      </c>
      <c r="W140" s="1465" t="s">
        <v>19</v>
      </c>
      <c r="X140" s="1508">
        <v>7</v>
      </c>
      <c r="Y140" s="1407" t="s">
        <v>10</v>
      </c>
      <c r="Z140" s="1508">
        <v>4</v>
      </c>
      <c r="AA140" s="1407" t="s">
        <v>45</v>
      </c>
      <c r="AB140" s="1508">
        <v>8</v>
      </c>
      <c r="AC140" s="1407" t="s">
        <v>10</v>
      </c>
      <c r="AD140" s="1508">
        <v>3</v>
      </c>
      <c r="AE140" s="1407" t="s">
        <v>13</v>
      </c>
      <c r="AF140" s="1407" t="s">
        <v>24</v>
      </c>
      <c r="AG140" s="1407">
        <f>IF(X140&gt;=1,(AB140*12+AD140)-(X140*12+Z140)+1,"")</f>
        <v>12</v>
      </c>
      <c r="AH140" s="1409" t="s">
        <v>38</v>
      </c>
      <c r="AI140" s="1496" t="str">
        <f>IFERROR(ROUNDDOWN(ROUND(L138*V140,0)*M138,0)*AG140,"")</f>
        <v/>
      </c>
      <c r="AJ140" s="1510" t="str">
        <f>IFERROR(ROUNDDOWN(ROUND((L138*(V140-AX138)),0)*M138,0)*AG140,"")</f>
        <v/>
      </c>
      <c r="AK140" s="1494">
        <f>IFERROR(IF(OR(N138="",N139="",N141=""),0,ROUNDDOWN(ROUNDDOWN(ROUND(L138*VLOOKUP(K138,【参考】数式用!$A$5:$AB$27,MATCH("新加算Ⅳ",【参考】数式用!$B$4:$AB$4,0)+1,0),0)*M138,0)*AG140*0.5,0)),"")</f>
        <v>0</v>
      </c>
      <c r="AL140" s="1435" t="str">
        <f t="shared" ref="AL140" si="127">IF(U140&lt;&gt;"","新規に適用","")</f>
        <v/>
      </c>
      <c r="AM140" s="1498">
        <f>IFERROR(IF(OR(N141="ベア加算",N141=""),0, IF(OR(U138="新加算Ⅰ",U138="新加算Ⅱ",U138="新加算Ⅲ",U138="新加算Ⅳ"),0,ROUNDDOWN(ROUND(L138*VLOOKUP(K138,【参考】数式用!$A$5:$I$27,MATCH("ベア加算",【参考】数式用!$B$4:$I$4,0)+1,0),0)*M138,0)*AG140)),"")</f>
        <v>0</v>
      </c>
      <c r="AN140" s="1356" t="str">
        <f t="shared" ref="AN140" si="128">IF(AM140=0,"",IF(AND(U140&lt;&gt;"",AN138=""),"新規に適用",IF(AND(U140&lt;&gt;"",AN138&lt;&gt;""),"継続で適用","")))</f>
        <v/>
      </c>
      <c r="AO140" s="1356" t="str">
        <f>IF(AND(U140&lt;&gt;"",AO138=""),"新規に適用",IF(AND(U140&lt;&gt;"",AO138&lt;&gt;""),"継続で適用",""))</f>
        <v/>
      </c>
      <c r="AP140" s="1358"/>
      <c r="AQ140" s="1356" t="str">
        <f>IF(AND(U140&lt;&gt;"",AQ138=""),"新規に適用",IF(AND(U140&lt;&gt;"",AQ138&lt;&gt;""),"継続で適用",""))</f>
        <v/>
      </c>
      <c r="AR140" s="1344" t="str">
        <f t="shared" si="92"/>
        <v/>
      </c>
      <c r="AS140" s="1356" t="str">
        <f>IF(AND(U140&lt;&gt;"",AS138=""),"新規に適用",IF(AND(U140&lt;&gt;"",AS138&lt;&gt;""),"継続で適用",""))</f>
        <v/>
      </c>
      <c r="AT140" s="1331"/>
      <c r="AU140" s="651"/>
      <c r="AV140" s="1493" t="str">
        <f>IF(K138&lt;&gt;"","V列に色付け","")</f>
        <v/>
      </c>
      <c r="AW140" s="1518"/>
      <c r="AX140" s="1507"/>
      <c r="AY140" s="163"/>
      <c r="AZ140" s="163"/>
      <c r="BA140" s="163"/>
      <c r="BB140" s="163"/>
      <c r="BC140" s="163"/>
      <c r="BD140" s="163"/>
      <c r="BE140" s="163"/>
      <c r="BF140" s="163"/>
      <c r="BG140" s="163"/>
      <c r="BH140" s="163"/>
      <c r="BI140" s="163"/>
      <c r="BJ140" s="163"/>
      <c r="BK140" s="163"/>
      <c r="BL140" s="543" t="str">
        <f>G138</f>
        <v/>
      </c>
    </row>
    <row r="141" spans="1:64" ht="30" customHeight="1" thickBot="1">
      <c r="A141" s="1227"/>
      <c r="B141" s="1376"/>
      <c r="C141" s="1377"/>
      <c r="D141" s="1377"/>
      <c r="E141" s="1377"/>
      <c r="F141" s="1378"/>
      <c r="G141" s="1267"/>
      <c r="H141" s="1267"/>
      <c r="I141" s="1267"/>
      <c r="J141" s="1373"/>
      <c r="K141" s="1267"/>
      <c r="L141" s="1248"/>
      <c r="M141" s="1251"/>
      <c r="N141" s="650" t="str">
        <f>IF('別紙様式2-2（４・５月分）'!Q109="","",'別紙様式2-2（４・５月分）'!Q109)</f>
        <v/>
      </c>
      <c r="O141" s="1369"/>
      <c r="P141" s="1391"/>
      <c r="Q141" s="1387"/>
      <c r="R141" s="1389"/>
      <c r="S141" s="1395"/>
      <c r="T141" s="1460"/>
      <c r="U141" s="1462"/>
      <c r="V141" s="1464"/>
      <c r="W141" s="1466"/>
      <c r="X141" s="1509"/>
      <c r="Y141" s="1408"/>
      <c r="Z141" s="1509"/>
      <c r="AA141" s="1408"/>
      <c r="AB141" s="1509"/>
      <c r="AC141" s="1408"/>
      <c r="AD141" s="1509"/>
      <c r="AE141" s="1408"/>
      <c r="AF141" s="1408"/>
      <c r="AG141" s="1408"/>
      <c r="AH141" s="1410"/>
      <c r="AI141" s="1497"/>
      <c r="AJ141" s="1511"/>
      <c r="AK141" s="1495"/>
      <c r="AL141" s="1436"/>
      <c r="AM141" s="1499"/>
      <c r="AN141" s="1357"/>
      <c r="AO141" s="1357"/>
      <c r="AP141" s="1359"/>
      <c r="AQ141" s="1357"/>
      <c r="AR141" s="1345"/>
      <c r="AS141" s="1357"/>
      <c r="AT141" s="581" t="str">
        <f t="shared" ref="AT141" si="129">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51"/>
      <c r="AV141" s="1493"/>
      <c r="AW141" s="652" t="str">
        <f>IF('別紙様式2-2（４・５月分）'!O109="","",'別紙様式2-2（４・５月分）'!O109)</f>
        <v/>
      </c>
      <c r="AX141" s="1507"/>
      <c r="AY141" s="163"/>
      <c r="AZ141" s="163"/>
      <c r="BA141" s="163"/>
      <c r="BB141" s="163"/>
      <c r="BC141" s="163"/>
      <c r="BD141" s="163"/>
      <c r="BE141" s="163"/>
      <c r="BF141" s="163"/>
      <c r="BG141" s="163"/>
      <c r="BH141" s="163"/>
      <c r="BI141" s="163"/>
      <c r="BJ141" s="163"/>
      <c r="BK141" s="163"/>
      <c r="BL141" s="543" t="str">
        <f>G138</f>
        <v/>
      </c>
    </row>
    <row r="142" spans="1:64" ht="30" customHeight="1">
      <c r="A142" s="1225">
        <v>33</v>
      </c>
      <c r="B142" s="1272" t="str">
        <f>IF(基本情報入力シート!C86="","",基本情報入力シート!C86)</f>
        <v/>
      </c>
      <c r="C142" s="1261"/>
      <c r="D142" s="1261"/>
      <c r="E142" s="1261"/>
      <c r="F142" s="1262"/>
      <c r="G142" s="1266" t="str">
        <f>IF(基本情報入力シート!M86="","",基本情報入力シート!M86)</f>
        <v/>
      </c>
      <c r="H142" s="1266" t="str">
        <f>IF(基本情報入力シート!R86="","",基本情報入力シート!R86)</f>
        <v/>
      </c>
      <c r="I142" s="1266" t="str">
        <f>IF(基本情報入力シート!W86="","",基本情報入力シート!W86)</f>
        <v/>
      </c>
      <c r="J142" s="1372" t="str">
        <f>IF(基本情報入力シート!X86="","",基本情報入力シート!X86)</f>
        <v/>
      </c>
      <c r="K142" s="1266" t="str">
        <f>IF(基本情報入力シート!Y86="","",基本情報入力シート!Y86)</f>
        <v/>
      </c>
      <c r="L142" s="1247" t="str">
        <f>IF(基本情報入力シート!AB86="","",基本情報入力シート!AB86)</f>
        <v/>
      </c>
      <c r="M142" s="1374" t="str">
        <f>IF(基本情報入力シート!AC86="","",基本情報入力シート!AC86)</f>
        <v/>
      </c>
      <c r="N142" s="647" t="str">
        <f>IF('別紙様式2-2（４・５月分）'!Q110="","",'別紙様式2-2（４・５月分）'!Q110)</f>
        <v/>
      </c>
      <c r="O142" s="1366" t="str">
        <f>IF(SUM('別紙様式2-2（４・５月分）'!R110:R112)=0,"",SUM('別紙様式2-2（４・５月分）'!R110:R112))</f>
        <v/>
      </c>
      <c r="P142" s="1380" t="str">
        <f>IFERROR(VLOOKUP('別紙様式2-2（４・５月分）'!AR110,【参考】数式用!$AT$5:$AU$22,2,FALSE),"")</f>
        <v/>
      </c>
      <c r="Q142" s="1381"/>
      <c r="R142" s="1382"/>
      <c r="S142" s="1392" t="str">
        <f>IFERROR(VLOOKUP(K142,【参考】数式用!$A$5:$AB$27,MATCH(P142,【参考】数式用!$B$4:$AB$4,0)+1,0),"")</f>
        <v/>
      </c>
      <c r="T142" s="1413" t="s">
        <v>2173</v>
      </c>
      <c r="U142" s="1415"/>
      <c r="V142" s="1457" t="str">
        <f>IFERROR(VLOOKUP(K142,【参考】数式用!$A$5:$AB$27,MATCH(U142,【参考】数式用!$B$4:$AB$4,0)+1,0),"")</f>
        <v/>
      </c>
      <c r="W142" s="1350" t="s">
        <v>19</v>
      </c>
      <c r="X142" s="1352">
        <v>6</v>
      </c>
      <c r="Y142" s="1354" t="s">
        <v>10</v>
      </c>
      <c r="Z142" s="1352">
        <v>6</v>
      </c>
      <c r="AA142" s="1354" t="s">
        <v>45</v>
      </c>
      <c r="AB142" s="1352">
        <v>7</v>
      </c>
      <c r="AC142" s="1354" t="s">
        <v>10</v>
      </c>
      <c r="AD142" s="1352">
        <v>3</v>
      </c>
      <c r="AE142" s="1354" t="s">
        <v>13</v>
      </c>
      <c r="AF142" s="1354" t="s">
        <v>24</v>
      </c>
      <c r="AG142" s="1354">
        <f>IF(X142&gt;=1,(AB142*12+AD142)-(X142*12+Z142)+1,"")</f>
        <v>10</v>
      </c>
      <c r="AH142" s="1360" t="s">
        <v>38</v>
      </c>
      <c r="AI142" s="1481" t="str">
        <f>IFERROR(ROUNDDOWN(ROUND(L142*V142,0)*M142,0)*AG142,"")</f>
        <v/>
      </c>
      <c r="AJ142" s="1483" t="str">
        <f>IFERROR(ROUNDDOWN(ROUND((L142*(V142-AX142)),0)*M142,0)*AG142,"")</f>
        <v/>
      </c>
      <c r="AK142" s="1485">
        <f>IFERROR(IF(OR(N142="",N143="",N145=""),0,ROUNDDOWN(ROUNDDOWN(ROUND(L142*VLOOKUP(K142,【参考】数式用!$A$5:$AB$27,MATCH("新加算Ⅳ",【参考】数式用!$B$4:$AB$4,0)+1,0),0)*M142,0)*AG142*0.5,0)),"")</f>
        <v>0</v>
      </c>
      <c r="AL142" s="1433"/>
      <c r="AM142" s="1487">
        <f>IFERROR(IF(OR(N145="ベア加算",N145=""),0, IF(OR(U142="新加算Ⅰ",U142="新加算Ⅱ",U142="新加算Ⅲ",U142="新加算Ⅳ"),ROUNDDOWN(ROUND(L142*VLOOKUP(K142,【参考】数式用!$A$5:$I$27,MATCH("ベア加算",【参考】数式用!$B$4:$I$4,0)+1,0),0)*M142,0)*AG142,0)),"")</f>
        <v>0</v>
      </c>
      <c r="AN142" s="1502"/>
      <c r="AO142" s="1364"/>
      <c r="AP142" s="1403"/>
      <c r="AQ142" s="1403"/>
      <c r="AR142" s="1489"/>
      <c r="AS142" s="1491"/>
      <c r="AT142" s="556" t="str">
        <f t="shared" si="67"/>
        <v/>
      </c>
      <c r="AU142" s="651"/>
      <c r="AV142" s="1493" t="str">
        <f>IF(K142&lt;&gt;"","V列に色付け","")</f>
        <v/>
      </c>
      <c r="AW142" s="652" t="str">
        <f>IF('別紙様式2-2（４・５月分）'!O110="","",'別紙様式2-2（４・５月分）'!O110)</f>
        <v/>
      </c>
      <c r="AX142" s="1507" t="str">
        <f>IF(SUM('別紙様式2-2（４・５月分）'!P110:P112)=0,"",SUM('別紙様式2-2（４・５月分）'!P110:P112))</f>
        <v/>
      </c>
      <c r="AY142" s="1506" t="str">
        <f>IFERROR(VLOOKUP(K142,【参考】数式用!$AJ$2:$AK$24,2,FALSE),"")</f>
        <v/>
      </c>
      <c r="AZ142" s="1321" t="s">
        <v>2098</v>
      </c>
      <c r="BA142" s="1321" t="s">
        <v>2099</v>
      </c>
      <c r="BB142" s="1321" t="s">
        <v>2100</v>
      </c>
      <c r="BC142" s="1321" t="s">
        <v>2101</v>
      </c>
      <c r="BD142" s="1321" t="str">
        <f>IF(AND(P142&lt;&gt;"新加算Ⅰ",P142&lt;&gt;"新加算Ⅱ",P142&lt;&gt;"新加算Ⅲ",P142&lt;&gt;"新加算Ⅳ"),P142,IF(Q144&lt;&gt;"",Q144,""))</f>
        <v/>
      </c>
      <c r="BE142" s="1321"/>
      <c r="BF142" s="1321" t="str">
        <f t="shared" ref="BF142" si="130">IF(AM142&lt;&gt;0,IF(AN142="○","入力済","未入力"),"")</f>
        <v/>
      </c>
      <c r="BG142" s="1321"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321" t="str">
        <f>IF(OR(U142="新加算Ⅴ（７）",U142="新加算Ⅴ（９）",U142="新加算Ⅴ（10）",U142="新加算Ⅴ（12）",U142="新加算Ⅴ（13）",U142="新加算Ⅴ（14）"),IF(OR(AP142="○",AP142="令和６年度中に満たす"),"入力済","未入力"),"")</f>
        <v/>
      </c>
      <c r="BI142" s="1321" t="str">
        <f>IF(OR(U142="新加算Ⅰ",U142="新加算Ⅱ",U142="新加算Ⅲ",U142="新加算Ⅴ（１）",U142="新加算Ⅴ（３）",U142="新加算Ⅴ（８）"),IF(OR(AQ142="○",AQ142="令和６年度中に満たす"),"入力済","未入力"),"")</f>
        <v/>
      </c>
      <c r="BJ142" s="1512"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493" t="str">
        <f>IF(OR(U142="新加算Ⅰ",U142="新加算Ⅴ（１）",U142="新加算Ⅴ（２）",U142="新加算Ⅴ（５）",U142="新加算Ⅴ（７）",U142="新加算Ⅴ（10）"),IF(AS142="","未入力","入力済"),"")</f>
        <v/>
      </c>
      <c r="BL142" s="543" t="str">
        <f>G142</f>
        <v/>
      </c>
    </row>
    <row r="143" spans="1:64" ht="15" customHeight="1">
      <c r="A143" s="1226"/>
      <c r="B143" s="1272"/>
      <c r="C143" s="1261"/>
      <c r="D143" s="1261"/>
      <c r="E143" s="1261"/>
      <c r="F143" s="1262"/>
      <c r="G143" s="1266"/>
      <c r="H143" s="1266"/>
      <c r="I143" s="1266"/>
      <c r="J143" s="1372"/>
      <c r="K143" s="1266"/>
      <c r="L143" s="1247"/>
      <c r="M143" s="1374"/>
      <c r="N143" s="1370" t="str">
        <f>IF('別紙様式2-2（４・５月分）'!Q111="","",'別紙様式2-2（４・５月分）'!Q111)</f>
        <v/>
      </c>
      <c r="O143" s="1367"/>
      <c r="P143" s="1383"/>
      <c r="Q143" s="1384"/>
      <c r="R143" s="1385"/>
      <c r="S143" s="1393"/>
      <c r="T143" s="1414"/>
      <c r="U143" s="1416"/>
      <c r="V143" s="1458"/>
      <c r="W143" s="1351"/>
      <c r="X143" s="1353"/>
      <c r="Y143" s="1355"/>
      <c r="Z143" s="1353"/>
      <c r="AA143" s="1355"/>
      <c r="AB143" s="1353"/>
      <c r="AC143" s="1355"/>
      <c r="AD143" s="1353"/>
      <c r="AE143" s="1355"/>
      <c r="AF143" s="1355"/>
      <c r="AG143" s="1355"/>
      <c r="AH143" s="1361"/>
      <c r="AI143" s="1482"/>
      <c r="AJ143" s="1484"/>
      <c r="AK143" s="1486"/>
      <c r="AL143" s="1434"/>
      <c r="AM143" s="1488"/>
      <c r="AN143" s="1503"/>
      <c r="AO143" s="1365"/>
      <c r="AP143" s="1404"/>
      <c r="AQ143" s="1404"/>
      <c r="AR143" s="1490"/>
      <c r="AS143" s="1492"/>
      <c r="AT143" s="1331" t="str">
        <f t="shared" si="69"/>
        <v/>
      </c>
      <c r="AU143" s="651"/>
      <c r="AV143" s="1493"/>
      <c r="AW143" s="1518" t="str">
        <f>IF('別紙様式2-2（４・５月分）'!O111="","",'別紙様式2-2（４・５月分）'!O111)</f>
        <v/>
      </c>
      <c r="AX143" s="1507"/>
      <c r="AY143" s="1506"/>
      <c r="AZ143" s="1321"/>
      <c r="BA143" s="1321"/>
      <c r="BB143" s="1321"/>
      <c r="BC143" s="1321"/>
      <c r="BD143" s="1321"/>
      <c r="BE143" s="1321"/>
      <c r="BF143" s="1321"/>
      <c r="BG143" s="1321"/>
      <c r="BH143" s="1321"/>
      <c r="BI143" s="1321"/>
      <c r="BJ143" s="1512"/>
      <c r="BK143" s="1493"/>
      <c r="BL143" s="543" t="str">
        <f>G142</f>
        <v/>
      </c>
    </row>
    <row r="144" spans="1:64" ht="15" customHeight="1">
      <c r="A144" s="1240"/>
      <c r="B144" s="1272"/>
      <c r="C144" s="1261"/>
      <c r="D144" s="1261"/>
      <c r="E144" s="1261"/>
      <c r="F144" s="1262"/>
      <c r="G144" s="1266"/>
      <c r="H144" s="1266"/>
      <c r="I144" s="1266"/>
      <c r="J144" s="1372"/>
      <c r="K144" s="1266"/>
      <c r="L144" s="1247"/>
      <c r="M144" s="1374"/>
      <c r="N144" s="1371"/>
      <c r="O144" s="1368"/>
      <c r="P144" s="1390" t="s">
        <v>2179</v>
      </c>
      <c r="Q144" s="1386" t="str">
        <f>IFERROR(VLOOKUP('別紙様式2-2（４・５月分）'!AR110,【参考】数式用!$AT$5:$AV$22,3,FALSE),"")</f>
        <v/>
      </c>
      <c r="R144" s="1388" t="s">
        <v>2190</v>
      </c>
      <c r="S144" s="1394" t="str">
        <f>IFERROR(VLOOKUP(K142,【参考】数式用!$A$5:$AB$27,MATCH(Q144,【参考】数式用!$B$4:$AB$4,0)+1,0),"")</f>
        <v/>
      </c>
      <c r="T144" s="1459" t="s">
        <v>217</v>
      </c>
      <c r="U144" s="1461"/>
      <c r="V144" s="1463" t="str">
        <f>IFERROR(VLOOKUP(K142,【参考】数式用!$A$5:$AB$27,MATCH(U144,【参考】数式用!$B$4:$AB$4,0)+1,0),"")</f>
        <v/>
      </c>
      <c r="W144" s="1465" t="s">
        <v>19</v>
      </c>
      <c r="X144" s="1508">
        <v>7</v>
      </c>
      <c r="Y144" s="1407" t="s">
        <v>10</v>
      </c>
      <c r="Z144" s="1508">
        <v>4</v>
      </c>
      <c r="AA144" s="1407" t="s">
        <v>45</v>
      </c>
      <c r="AB144" s="1508">
        <v>8</v>
      </c>
      <c r="AC144" s="1407" t="s">
        <v>10</v>
      </c>
      <c r="AD144" s="1508">
        <v>3</v>
      </c>
      <c r="AE144" s="1407" t="s">
        <v>13</v>
      </c>
      <c r="AF144" s="1407" t="s">
        <v>24</v>
      </c>
      <c r="AG144" s="1407">
        <f>IF(X144&gt;=1,(AB144*12+AD144)-(X144*12+Z144)+1,"")</f>
        <v>12</v>
      </c>
      <c r="AH144" s="1409" t="s">
        <v>38</v>
      </c>
      <c r="AI144" s="1496" t="str">
        <f>IFERROR(ROUNDDOWN(ROUND(L142*V144,0)*M142,0)*AG144,"")</f>
        <v/>
      </c>
      <c r="AJ144" s="1510" t="str">
        <f>IFERROR(ROUNDDOWN(ROUND((L142*(V144-AX142)),0)*M142,0)*AG144,"")</f>
        <v/>
      </c>
      <c r="AK144" s="1494">
        <f>IFERROR(IF(OR(N142="",N143="",N145=""),0,ROUNDDOWN(ROUNDDOWN(ROUND(L142*VLOOKUP(K142,【参考】数式用!$A$5:$AB$27,MATCH("新加算Ⅳ",【参考】数式用!$B$4:$AB$4,0)+1,0),0)*M142,0)*AG144*0.5,0)),"")</f>
        <v>0</v>
      </c>
      <c r="AL144" s="1435" t="str">
        <f t="shared" ref="AL144" si="131">IF(U144&lt;&gt;"","新規に適用","")</f>
        <v/>
      </c>
      <c r="AM144" s="1498">
        <f>IFERROR(IF(OR(N145="ベア加算",N145=""),0, IF(OR(U142="新加算Ⅰ",U142="新加算Ⅱ",U142="新加算Ⅲ",U142="新加算Ⅳ"),0,ROUNDDOWN(ROUND(L142*VLOOKUP(K142,【参考】数式用!$A$5:$I$27,MATCH("ベア加算",【参考】数式用!$B$4:$I$4,0)+1,0),0)*M142,0)*AG144)),"")</f>
        <v>0</v>
      </c>
      <c r="AN144" s="1356" t="str">
        <f t="shared" ref="AN144" si="132">IF(AM144=0,"",IF(AND(U144&lt;&gt;"",AN142=""),"新規に適用",IF(AND(U144&lt;&gt;"",AN142&lt;&gt;""),"継続で適用","")))</f>
        <v/>
      </c>
      <c r="AO144" s="1356" t="str">
        <f>IF(AND(U144&lt;&gt;"",AO142=""),"新規に適用",IF(AND(U144&lt;&gt;"",AO142&lt;&gt;""),"継続で適用",""))</f>
        <v/>
      </c>
      <c r="AP144" s="1358"/>
      <c r="AQ144" s="1356" t="str">
        <f>IF(AND(U144&lt;&gt;"",AQ142=""),"新規に適用",IF(AND(U144&lt;&gt;"",AQ142&lt;&gt;""),"継続で適用",""))</f>
        <v/>
      </c>
      <c r="AR144" s="1344" t="str">
        <f t="shared" si="92"/>
        <v/>
      </c>
      <c r="AS144" s="1356" t="str">
        <f>IF(AND(U144&lt;&gt;"",AS142=""),"新規に適用",IF(AND(U144&lt;&gt;"",AS142&lt;&gt;""),"継続で適用",""))</f>
        <v/>
      </c>
      <c r="AT144" s="1331"/>
      <c r="AU144" s="651"/>
      <c r="AV144" s="1493" t="str">
        <f>IF(K142&lt;&gt;"","V列に色付け","")</f>
        <v/>
      </c>
      <c r="AW144" s="1518"/>
      <c r="AX144" s="1507"/>
      <c r="AY144" s="163"/>
      <c r="AZ144" s="163"/>
      <c r="BA144" s="163"/>
      <c r="BB144" s="163"/>
      <c r="BC144" s="163"/>
      <c r="BD144" s="163"/>
      <c r="BE144" s="163"/>
      <c r="BF144" s="163"/>
      <c r="BG144" s="163"/>
      <c r="BH144" s="163"/>
      <c r="BI144" s="163"/>
      <c r="BJ144" s="163"/>
      <c r="BK144" s="163"/>
      <c r="BL144" s="543" t="str">
        <f>G142</f>
        <v/>
      </c>
    </row>
    <row r="145" spans="1:64" ht="30" customHeight="1" thickBot="1">
      <c r="A145" s="1227"/>
      <c r="B145" s="1376"/>
      <c r="C145" s="1377"/>
      <c r="D145" s="1377"/>
      <c r="E145" s="1377"/>
      <c r="F145" s="1378"/>
      <c r="G145" s="1267"/>
      <c r="H145" s="1267"/>
      <c r="I145" s="1267"/>
      <c r="J145" s="1373"/>
      <c r="K145" s="1267"/>
      <c r="L145" s="1248"/>
      <c r="M145" s="1375"/>
      <c r="N145" s="650" t="str">
        <f>IF('別紙様式2-2（４・５月分）'!Q112="","",'別紙様式2-2（４・５月分）'!Q112)</f>
        <v/>
      </c>
      <c r="O145" s="1369"/>
      <c r="P145" s="1391"/>
      <c r="Q145" s="1387"/>
      <c r="R145" s="1389"/>
      <c r="S145" s="1395"/>
      <c r="T145" s="1460"/>
      <c r="U145" s="1462"/>
      <c r="V145" s="1464"/>
      <c r="W145" s="1466"/>
      <c r="X145" s="1509"/>
      <c r="Y145" s="1408"/>
      <c r="Z145" s="1509"/>
      <c r="AA145" s="1408"/>
      <c r="AB145" s="1509"/>
      <c r="AC145" s="1408"/>
      <c r="AD145" s="1509"/>
      <c r="AE145" s="1408"/>
      <c r="AF145" s="1408"/>
      <c r="AG145" s="1408"/>
      <c r="AH145" s="1410"/>
      <c r="AI145" s="1497"/>
      <c r="AJ145" s="1511"/>
      <c r="AK145" s="1495"/>
      <c r="AL145" s="1436"/>
      <c r="AM145" s="1499"/>
      <c r="AN145" s="1357"/>
      <c r="AO145" s="1357"/>
      <c r="AP145" s="1359"/>
      <c r="AQ145" s="1357"/>
      <c r="AR145" s="1345"/>
      <c r="AS145" s="1357"/>
      <c r="AT145" s="581" t="str">
        <f t="shared" ref="AT145" si="133">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51"/>
      <c r="AV145" s="1493"/>
      <c r="AW145" s="652" t="str">
        <f>IF('別紙様式2-2（４・５月分）'!O112="","",'別紙様式2-2（４・５月分）'!O112)</f>
        <v/>
      </c>
      <c r="AX145" s="1507"/>
      <c r="AY145" s="163"/>
      <c r="AZ145" s="163"/>
      <c r="BA145" s="163"/>
      <c r="BB145" s="163"/>
      <c r="BC145" s="163"/>
      <c r="BD145" s="163"/>
      <c r="BE145" s="163"/>
      <c r="BF145" s="163"/>
      <c r="BG145" s="163"/>
      <c r="BH145" s="163"/>
      <c r="BI145" s="163"/>
      <c r="BJ145" s="163"/>
      <c r="BK145" s="163"/>
      <c r="BL145" s="543" t="str">
        <f>G142</f>
        <v/>
      </c>
    </row>
    <row r="146" spans="1:64" ht="30" customHeight="1">
      <c r="A146" s="1241">
        <v>34</v>
      </c>
      <c r="B146" s="1271" t="str">
        <f>IF(基本情報入力シート!C87="","",基本情報入力シート!C87)</f>
        <v/>
      </c>
      <c r="C146" s="1259"/>
      <c r="D146" s="1259"/>
      <c r="E146" s="1259"/>
      <c r="F146" s="1260"/>
      <c r="G146" s="1265" t="str">
        <f>IF(基本情報入力シート!M87="","",基本情報入力シート!M87)</f>
        <v/>
      </c>
      <c r="H146" s="1265" t="str">
        <f>IF(基本情報入力シート!R87="","",基本情報入力シート!R87)</f>
        <v/>
      </c>
      <c r="I146" s="1265" t="str">
        <f>IF(基本情報入力シート!W87="","",基本情報入力シート!W87)</f>
        <v/>
      </c>
      <c r="J146" s="1379" t="str">
        <f>IF(基本情報入力シート!X87="","",基本情報入力シート!X87)</f>
        <v/>
      </c>
      <c r="K146" s="1265" t="str">
        <f>IF(基本情報入力シート!Y87="","",基本情報入力シート!Y87)</f>
        <v/>
      </c>
      <c r="L146" s="1246" t="str">
        <f>IF(基本情報入力シート!AB87="","",基本情報入力シート!AB87)</f>
        <v/>
      </c>
      <c r="M146" s="1249" t="str">
        <f>IF(基本情報入力シート!AC87="","",基本情報入力シート!AC87)</f>
        <v/>
      </c>
      <c r="N146" s="647" t="str">
        <f>IF('別紙様式2-2（４・５月分）'!Q113="","",'別紙様式2-2（４・５月分）'!Q113)</f>
        <v/>
      </c>
      <c r="O146" s="1366" t="str">
        <f>IF(SUM('別紙様式2-2（４・５月分）'!R113:R115)=0,"",SUM('別紙様式2-2（４・５月分）'!R113:R115))</f>
        <v/>
      </c>
      <c r="P146" s="1380" t="str">
        <f>IFERROR(VLOOKUP('別紙様式2-2（４・５月分）'!AR113,【参考】数式用!$AT$5:$AU$22,2,FALSE),"")</f>
        <v/>
      </c>
      <c r="Q146" s="1381"/>
      <c r="R146" s="1382"/>
      <c r="S146" s="1392" t="str">
        <f>IFERROR(VLOOKUP(K146,【参考】数式用!$A$5:$AB$27,MATCH(P146,【参考】数式用!$B$4:$AB$4,0)+1,0),"")</f>
        <v/>
      </c>
      <c r="T146" s="1413" t="s">
        <v>2173</v>
      </c>
      <c r="U146" s="1415"/>
      <c r="V146" s="1457" t="str">
        <f>IFERROR(VLOOKUP(K146,【参考】数式用!$A$5:$AB$27,MATCH(U146,【参考】数式用!$B$4:$AB$4,0)+1,0),"")</f>
        <v/>
      </c>
      <c r="W146" s="1350" t="s">
        <v>19</v>
      </c>
      <c r="X146" s="1352">
        <v>6</v>
      </c>
      <c r="Y146" s="1354" t="s">
        <v>10</v>
      </c>
      <c r="Z146" s="1352">
        <v>6</v>
      </c>
      <c r="AA146" s="1354" t="s">
        <v>45</v>
      </c>
      <c r="AB146" s="1352">
        <v>7</v>
      </c>
      <c r="AC146" s="1354" t="s">
        <v>10</v>
      </c>
      <c r="AD146" s="1352">
        <v>3</v>
      </c>
      <c r="AE146" s="1354" t="s">
        <v>13</v>
      </c>
      <c r="AF146" s="1354" t="s">
        <v>24</v>
      </c>
      <c r="AG146" s="1354">
        <f>IF(X146&gt;=1,(AB146*12+AD146)-(X146*12+Z146)+1,"")</f>
        <v>10</v>
      </c>
      <c r="AH146" s="1360" t="s">
        <v>38</v>
      </c>
      <c r="AI146" s="1481" t="str">
        <f>IFERROR(ROUNDDOWN(ROUND(L146*V146,0)*M146,0)*AG146,"")</f>
        <v/>
      </c>
      <c r="AJ146" s="1483" t="str">
        <f>IFERROR(ROUNDDOWN(ROUND((L146*(V146-AX146)),0)*M146,0)*AG146,"")</f>
        <v/>
      </c>
      <c r="AK146" s="1485">
        <f>IFERROR(IF(OR(N146="",N147="",N149=""),0,ROUNDDOWN(ROUNDDOWN(ROUND(L146*VLOOKUP(K146,【参考】数式用!$A$5:$AB$27,MATCH("新加算Ⅳ",【参考】数式用!$B$4:$AB$4,0)+1,0),0)*M146,0)*AG146*0.5,0)),"")</f>
        <v>0</v>
      </c>
      <c r="AL146" s="1433"/>
      <c r="AM146" s="1487">
        <f>IFERROR(IF(OR(N149="ベア加算",N149=""),0, IF(OR(U146="新加算Ⅰ",U146="新加算Ⅱ",U146="新加算Ⅲ",U146="新加算Ⅳ"),ROUNDDOWN(ROUND(L146*VLOOKUP(K146,【参考】数式用!$A$5:$I$27,MATCH("ベア加算",【参考】数式用!$B$4:$I$4,0)+1,0),0)*M146,0)*AG146,0)),"")</f>
        <v>0</v>
      </c>
      <c r="AN146" s="1502"/>
      <c r="AO146" s="1364"/>
      <c r="AP146" s="1403"/>
      <c r="AQ146" s="1403"/>
      <c r="AR146" s="1489"/>
      <c r="AS146" s="1491"/>
      <c r="AT146" s="556" t="str">
        <f t="shared" ref="AT146:AT206" si="134">IF(AV146="","",IF(V146&lt;O146,"！加算の要件上は問題ありませんが、令和６年４・５月と比較して令和６年６月に加算率が下がる計画になっています。",""))</f>
        <v/>
      </c>
      <c r="AU146" s="651"/>
      <c r="AV146" s="1493" t="str">
        <f>IF(K146&lt;&gt;"","V列に色付け","")</f>
        <v/>
      </c>
      <c r="AW146" s="652" t="str">
        <f>IF('別紙様式2-2（４・５月分）'!O113="","",'別紙様式2-2（４・５月分）'!O113)</f>
        <v/>
      </c>
      <c r="AX146" s="1507" t="str">
        <f>IF(SUM('別紙様式2-2（４・５月分）'!P113:P115)=0,"",SUM('別紙様式2-2（４・５月分）'!P113:P115))</f>
        <v/>
      </c>
      <c r="AY146" s="1506" t="str">
        <f>IFERROR(VLOOKUP(K146,【参考】数式用!$AJ$2:$AK$24,2,FALSE),"")</f>
        <v/>
      </c>
      <c r="AZ146" s="1321" t="s">
        <v>2098</v>
      </c>
      <c r="BA146" s="1321" t="s">
        <v>2099</v>
      </c>
      <c r="BB146" s="1321" t="s">
        <v>2100</v>
      </c>
      <c r="BC146" s="1321" t="s">
        <v>2101</v>
      </c>
      <c r="BD146" s="1321" t="str">
        <f>IF(AND(P146&lt;&gt;"新加算Ⅰ",P146&lt;&gt;"新加算Ⅱ",P146&lt;&gt;"新加算Ⅲ",P146&lt;&gt;"新加算Ⅳ"),P146,IF(Q148&lt;&gt;"",Q148,""))</f>
        <v/>
      </c>
      <c r="BE146" s="1321"/>
      <c r="BF146" s="1321" t="str">
        <f t="shared" ref="BF146" si="135">IF(AM146&lt;&gt;0,IF(AN146="○","入力済","未入力"),"")</f>
        <v/>
      </c>
      <c r="BG146" s="1321"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321" t="str">
        <f>IF(OR(U146="新加算Ⅴ（７）",U146="新加算Ⅴ（９）",U146="新加算Ⅴ（10）",U146="新加算Ⅴ（12）",U146="新加算Ⅴ（13）",U146="新加算Ⅴ（14）"),IF(OR(AP146="○",AP146="令和６年度中に満たす"),"入力済","未入力"),"")</f>
        <v/>
      </c>
      <c r="BI146" s="1321" t="str">
        <f>IF(OR(U146="新加算Ⅰ",U146="新加算Ⅱ",U146="新加算Ⅲ",U146="新加算Ⅴ（１）",U146="新加算Ⅴ（３）",U146="新加算Ⅴ（８）"),IF(OR(AQ146="○",AQ146="令和６年度中に満たす"),"入力済","未入力"),"")</f>
        <v/>
      </c>
      <c r="BJ146" s="1512"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493" t="str">
        <f>IF(OR(U146="新加算Ⅰ",U146="新加算Ⅴ（１）",U146="新加算Ⅴ（２）",U146="新加算Ⅴ（５）",U146="新加算Ⅴ（７）",U146="新加算Ⅴ（10）"),IF(AS146="","未入力","入力済"),"")</f>
        <v/>
      </c>
      <c r="BL146" s="543" t="str">
        <f>G146</f>
        <v/>
      </c>
    </row>
    <row r="147" spans="1:64" ht="15" customHeight="1">
      <c r="A147" s="1226"/>
      <c r="B147" s="1272"/>
      <c r="C147" s="1261"/>
      <c r="D147" s="1261"/>
      <c r="E147" s="1261"/>
      <c r="F147" s="1262"/>
      <c r="G147" s="1266"/>
      <c r="H147" s="1266"/>
      <c r="I147" s="1266"/>
      <c r="J147" s="1372"/>
      <c r="K147" s="1266"/>
      <c r="L147" s="1247"/>
      <c r="M147" s="1250"/>
      <c r="N147" s="1370" t="str">
        <f>IF('別紙様式2-2（４・５月分）'!Q114="","",'別紙様式2-2（４・５月分）'!Q114)</f>
        <v/>
      </c>
      <c r="O147" s="1367"/>
      <c r="P147" s="1383"/>
      <c r="Q147" s="1384"/>
      <c r="R147" s="1385"/>
      <c r="S147" s="1393"/>
      <c r="T147" s="1414"/>
      <c r="U147" s="1416"/>
      <c r="V147" s="1458"/>
      <c r="W147" s="1351"/>
      <c r="X147" s="1353"/>
      <c r="Y147" s="1355"/>
      <c r="Z147" s="1353"/>
      <c r="AA147" s="1355"/>
      <c r="AB147" s="1353"/>
      <c r="AC147" s="1355"/>
      <c r="AD147" s="1353"/>
      <c r="AE147" s="1355"/>
      <c r="AF147" s="1355"/>
      <c r="AG147" s="1355"/>
      <c r="AH147" s="1361"/>
      <c r="AI147" s="1482"/>
      <c r="AJ147" s="1484"/>
      <c r="AK147" s="1486"/>
      <c r="AL147" s="1434"/>
      <c r="AM147" s="1488"/>
      <c r="AN147" s="1503"/>
      <c r="AO147" s="1365"/>
      <c r="AP147" s="1404"/>
      <c r="AQ147" s="1404"/>
      <c r="AR147" s="1490"/>
      <c r="AS147" s="1492"/>
      <c r="AT147" s="1331" t="str">
        <f t="shared" ref="AT147:AT207" si="136">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51"/>
      <c r="AV147" s="1493"/>
      <c r="AW147" s="1518" t="str">
        <f>IF('別紙様式2-2（４・５月分）'!O114="","",'別紙様式2-2（４・５月分）'!O114)</f>
        <v/>
      </c>
      <c r="AX147" s="1507"/>
      <c r="AY147" s="1506"/>
      <c r="AZ147" s="1321"/>
      <c r="BA147" s="1321"/>
      <c r="BB147" s="1321"/>
      <c r="BC147" s="1321"/>
      <c r="BD147" s="1321"/>
      <c r="BE147" s="1321"/>
      <c r="BF147" s="1321"/>
      <c r="BG147" s="1321"/>
      <c r="BH147" s="1321"/>
      <c r="BI147" s="1321"/>
      <c r="BJ147" s="1512"/>
      <c r="BK147" s="1493"/>
      <c r="BL147" s="543" t="str">
        <f>G146</f>
        <v/>
      </c>
    </row>
    <row r="148" spans="1:64" ht="15" customHeight="1">
      <c r="A148" s="1240"/>
      <c r="B148" s="1272"/>
      <c r="C148" s="1261"/>
      <c r="D148" s="1261"/>
      <c r="E148" s="1261"/>
      <c r="F148" s="1262"/>
      <c r="G148" s="1266"/>
      <c r="H148" s="1266"/>
      <c r="I148" s="1266"/>
      <c r="J148" s="1372"/>
      <c r="K148" s="1266"/>
      <c r="L148" s="1247"/>
      <c r="M148" s="1250"/>
      <c r="N148" s="1371"/>
      <c r="O148" s="1368"/>
      <c r="P148" s="1390" t="s">
        <v>2179</v>
      </c>
      <c r="Q148" s="1386" t="str">
        <f>IFERROR(VLOOKUP('別紙様式2-2（４・５月分）'!AR113,【参考】数式用!$AT$5:$AV$22,3,FALSE),"")</f>
        <v/>
      </c>
      <c r="R148" s="1388" t="s">
        <v>2190</v>
      </c>
      <c r="S148" s="1396" t="str">
        <f>IFERROR(VLOOKUP(K146,【参考】数式用!$A$5:$AB$27,MATCH(Q148,【参考】数式用!$B$4:$AB$4,0)+1,0),"")</f>
        <v/>
      </c>
      <c r="T148" s="1459" t="s">
        <v>217</v>
      </c>
      <c r="U148" s="1461"/>
      <c r="V148" s="1463" t="str">
        <f>IFERROR(VLOOKUP(K146,【参考】数式用!$A$5:$AB$27,MATCH(U148,【参考】数式用!$B$4:$AB$4,0)+1,0),"")</f>
        <v/>
      </c>
      <c r="W148" s="1465" t="s">
        <v>19</v>
      </c>
      <c r="X148" s="1508">
        <v>7</v>
      </c>
      <c r="Y148" s="1407" t="s">
        <v>10</v>
      </c>
      <c r="Z148" s="1508">
        <v>4</v>
      </c>
      <c r="AA148" s="1407" t="s">
        <v>45</v>
      </c>
      <c r="AB148" s="1508">
        <v>8</v>
      </c>
      <c r="AC148" s="1407" t="s">
        <v>10</v>
      </c>
      <c r="AD148" s="1508">
        <v>3</v>
      </c>
      <c r="AE148" s="1407" t="s">
        <v>13</v>
      </c>
      <c r="AF148" s="1407" t="s">
        <v>24</v>
      </c>
      <c r="AG148" s="1407">
        <f>IF(X148&gt;=1,(AB148*12+AD148)-(X148*12+Z148)+1,"")</f>
        <v>12</v>
      </c>
      <c r="AH148" s="1409" t="s">
        <v>38</v>
      </c>
      <c r="AI148" s="1496" t="str">
        <f>IFERROR(ROUNDDOWN(ROUND(L146*V148,0)*M146,0)*AG148,"")</f>
        <v/>
      </c>
      <c r="AJ148" s="1510" t="str">
        <f>IFERROR(ROUNDDOWN(ROUND((L146*(V148-AX146)),0)*M146,0)*AG148,"")</f>
        <v/>
      </c>
      <c r="AK148" s="1494">
        <f>IFERROR(IF(OR(N146="",N147="",N149=""),0,ROUNDDOWN(ROUNDDOWN(ROUND(L146*VLOOKUP(K146,【参考】数式用!$A$5:$AB$27,MATCH("新加算Ⅳ",【参考】数式用!$B$4:$AB$4,0)+1,0),0)*M146,0)*AG148*0.5,0)),"")</f>
        <v>0</v>
      </c>
      <c r="AL148" s="1435" t="str">
        <f t="shared" ref="AL148" si="137">IF(U148&lt;&gt;"","新規に適用","")</f>
        <v/>
      </c>
      <c r="AM148" s="1498">
        <f>IFERROR(IF(OR(N149="ベア加算",N149=""),0, IF(OR(U146="新加算Ⅰ",U146="新加算Ⅱ",U146="新加算Ⅲ",U146="新加算Ⅳ"),0,ROUNDDOWN(ROUND(L146*VLOOKUP(K146,【参考】数式用!$A$5:$I$27,MATCH("ベア加算",【参考】数式用!$B$4:$I$4,0)+1,0),0)*M146,0)*AG148)),"")</f>
        <v>0</v>
      </c>
      <c r="AN148" s="1356" t="str">
        <f t="shared" ref="AN148" si="138">IF(AM148=0,"",IF(AND(U148&lt;&gt;"",AN146=""),"新規に適用",IF(AND(U148&lt;&gt;"",AN146&lt;&gt;""),"継続で適用","")))</f>
        <v/>
      </c>
      <c r="AO148" s="1356" t="str">
        <f>IF(AND(U148&lt;&gt;"",AO146=""),"新規に適用",IF(AND(U148&lt;&gt;"",AO146&lt;&gt;""),"継続で適用",""))</f>
        <v/>
      </c>
      <c r="AP148" s="1358"/>
      <c r="AQ148" s="1356" t="str">
        <f>IF(AND(U148&lt;&gt;"",AQ146=""),"新規に適用",IF(AND(U148&lt;&gt;"",AQ146&lt;&gt;""),"継続で適用",""))</f>
        <v/>
      </c>
      <c r="AR148" s="1344" t="str">
        <f t="shared" si="92"/>
        <v/>
      </c>
      <c r="AS148" s="1356" t="str">
        <f>IF(AND(U148&lt;&gt;"",AS146=""),"新規に適用",IF(AND(U148&lt;&gt;"",AS146&lt;&gt;""),"継続で適用",""))</f>
        <v/>
      </c>
      <c r="AT148" s="1331"/>
      <c r="AU148" s="651"/>
      <c r="AV148" s="1493" t="str">
        <f>IF(K146&lt;&gt;"","V列に色付け","")</f>
        <v/>
      </c>
      <c r="AW148" s="1518"/>
      <c r="AX148" s="1507"/>
      <c r="AY148" s="163"/>
      <c r="AZ148" s="163"/>
      <c r="BA148" s="163"/>
      <c r="BB148" s="163"/>
      <c r="BC148" s="163"/>
      <c r="BD148" s="163"/>
      <c r="BE148" s="163"/>
      <c r="BF148" s="163"/>
      <c r="BG148" s="163"/>
      <c r="BH148" s="163"/>
      <c r="BI148" s="163"/>
      <c r="BJ148" s="163"/>
      <c r="BK148" s="163"/>
      <c r="BL148" s="543" t="str">
        <f>G146</f>
        <v/>
      </c>
    </row>
    <row r="149" spans="1:64" ht="30" customHeight="1" thickBot="1">
      <c r="A149" s="1227"/>
      <c r="B149" s="1376"/>
      <c r="C149" s="1377"/>
      <c r="D149" s="1377"/>
      <c r="E149" s="1377"/>
      <c r="F149" s="1378"/>
      <c r="G149" s="1267"/>
      <c r="H149" s="1267"/>
      <c r="I149" s="1267"/>
      <c r="J149" s="1373"/>
      <c r="K149" s="1267"/>
      <c r="L149" s="1248"/>
      <c r="M149" s="1251"/>
      <c r="N149" s="650" t="str">
        <f>IF('別紙様式2-2（４・５月分）'!Q115="","",'別紙様式2-2（４・５月分）'!Q115)</f>
        <v/>
      </c>
      <c r="O149" s="1369"/>
      <c r="P149" s="1391"/>
      <c r="Q149" s="1387"/>
      <c r="R149" s="1389"/>
      <c r="S149" s="1395"/>
      <c r="T149" s="1460"/>
      <c r="U149" s="1462"/>
      <c r="V149" s="1464"/>
      <c r="W149" s="1466"/>
      <c r="X149" s="1509"/>
      <c r="Y149" s="1408"/>
      <c r="Z149" s="1509"/>
      <c r="AA149" s="1408"/>
      <c r="AB149" s="1509"/>
      <c r="AC149" s="1408"/>
      <c r="AD149" s="1509"/>
      <c r="AE149" s="1408"/>
      <c r="AF149" s="1408"/>
      <c r="AG149" s="1408"/>
      <c r="AH149" s="1410"/>
      <c r="AI149" s="1497"/>
      <c r="AJ149" s="1511"/>
      <c r="AK149" s="1495"/>
      <c r="AL149" s="1436"/>
      <c r="AM149" s="1499"/>
      <c r="AN149" s="1357"/>
      <c r="AO149" s="1357"/>
      <c r="AP149" s="1359"/>
      <c r="AQ149" s="1357"/>
      <c r="AR149" s="1345"/>
      <c r="AS149" s="1357"/>
      <c r="AT149" s="581" t="str">
        <f t="shared" ref="AT149" si="139">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51"/>
      <c r="AV149" s="1493"/>
      <c r="AW149" s="652" t="str">
        <f>IF('別紙様式2-2（４・５月分）'!O115="","",'別紙様式2-2（４・５月分）'!O115)</f>
        <v/>
      </c>
      <c r="AX149" s="1507"/>
      <c r="AY149" s="163"/>
      <c r="AZ149" s="163"/>
      <c r="BA149" s="163"/>
      <c r="BB149" s="163"/>
      <c r="BC149" s="163"/>
      <c r="BD149" s="163"/>
      <c r="BE149" s="163"/>
      <c r="BF149" s="163"/>
      <c r="BG149" s="163"/>
      <c r="BH149" s="163"/>
      <c r="BI149" s="163"/>
      <c r="BJ149" s="163"/>
      <c r="BK149" s="163"/>
      <c r="BL149" s="543" t="str">
        <f>G146</f>
        <v/>
      </c>
    </row>
    <row r="150" spans="1:64" ht="30" customHeight="1">
      <c r="A150" s="1225">
        <v>35</v>
      </c>
      <c r="B150" s="1272" t="str">
        <f>IF(基本情報入力シート!C88="","",基本情報入力シート!C88)</f>
        <v/>
      </c>
      <c r="C150" s="1261"/>
      <c r="D150" s="1261"/>
      <c r="E150" s="1261"/>
      <c r="F150" s="1262"/>
      <c r="G150" s="1266" t="str">
        <f>IF(基本情報入力シート!M88="","",基本情報入力シート!M88)</f>
        <v/>
      </c>
      <c r="H150" s="1266" t="str">
        <f>IF(基本情報入力シート!R88="","",基本情報入力シート!R88)</f>
        <v/>
      </c>
      <c r="I150" s="1266" t="str">
        <f>IF(基本情報入力シート!W88="","",基本情報入力シート!W88)</f>
        <v/>
      </c>
      <c r="J150" s="1372" t="str">
        <f>IF(基本情報入力シート!X88="","",基本情報入力シート!X88)</f>
        <v/>
      </c>
      <c r="K150" s="1266" t="str">
        <f>IF(基本情報入力シート!Y88="","",基本情報入力シート!Y88)</f>
        <v/>
      </c>
      <c r="L150" s="1247" t="str">
        <f>IF(基本情報入力シート!AB88="","",基本情報入力シート!AB88)</f>
        <v/>
      </c>
      <c r="M150" s="1374" t="str">
        <f>IF(基本情報入力シート!AC88="","",基本情報入力シート!AC88)</f>
        <v/>
      </c>
      <c r="N150" s="647" t="str">
        <f>IF('別紙様式2-2（４・５月分）'!Q116="","",'別紙様式2-2（４・５月分）'!Q116)</f>
        <v/>
      </c>
      <c r="O150" s="1366" t="str">
        <f>IF(SUM('別紙様式2-2（４・５月分）'!R116:R118)=0,"",SUM('別紙様式2-2（４・５月分）'!R116:R118))</f>
        <v/>
      </c>
      <c r="P150" s="1380" t="str">
        <f>IFERROR(VLOOKUP('別紙様式2-2（４・５月分）'!AR116,【参考】数式用!$AT$5:$AU$22,2,FALSE),"")</f>
        <v/>
      </c>
      <c r="Q150" s="1381"/>
      <c r="R150" s="1382"/>
      <c r="S150" s="1392" t="str">
        <f>IFERROR(VLOOKUP(K150,【参考】数式用!$A$5:$AB$27,MATCH(P150,【参考】数式用!$B$4:$AB$4,0)+1,0),"")</f>
        <v/>
      </c>
      <c r="T150" s="1413" t="s">
        <v>2173</v>
      </c>
      <c r="U150" s="1415"/>
      <c r="V150" s="1457" t="str">
        <f>IFERROR(VLOOKUP(K150,【参考】数式用!$A$5:$AB$27,MATCH(U150,【参考】数式用!$B$4:$AB$4,0)+1,0),"")</f>
        <v/>
      </c>
      <c r="W150" s="1350" t="s">
        <v>19</v>
      </c>
      <c r="X150" s="1352">
        <v>6</v>
      </c>
      <c r="Y150" s="1354" t="s">
        <v>10</v>
      </c>
      <c r="Z150" s="1352">
        <v>6</v>
      </c>
      <c r="AA150" s="1354" t="s">
        <v>45</v>
      </c>
      <c r="AB150" s="1352">
        <v>7</v>
      </c>
      <c r="AC150" s="1354" t="s">
        <v>10</v>
      </c>
      <c r="AD150" s="1352">
        <v>3</v>
      </c>
      <c r="AE150" s="1354" t="s">
        <v>13</v>
      </c>
      <c r="AF150" s="1354" t="s">
        <v>24</v>
      </c>
      <c r="AG150" s="1354">
        <f>IF(X150&gt;=1,(AB150*12+AD150)-(X150*12+Z150)+1,"")</f>
        <v>10</v>
      </c>
      <c r="AH150" s="1360" t="s">
        <v>38</v>
      </c>
      <c r="AI150" s="1481" t="str">
        <f>IFERROR(ROUNDDOWN(ROUND(L150*V150,0)*M150,0)*AG150,"")</f>
        <v/>
      </c>
      <c r="AJ150" s="1483" t="str">
        <f>IFERROR(ROUNDDOWN(ROUND((L150*(V150-AX150)),0)*M150,0)*AG150,"")</f>
        <v/>
      </c>
      <c r="AK150" s="1485">
        <f>IFERROR(IF(OR(N150="",N151="",N153=""),0,ROUNDDOWN(ROUNDDOWN(ROUND(L150*VLOOKUP(K150,【参考】数式用!$A$5:$AB$27,MATCH("新加算Ⅳ",【参考】数式用!$B$4:$AB$4,0)+1,0),0)*M150,0)*AG150*0.5,0)),"")</f>
        <v>0</v>
      </c>
      <c r="AL150" s="1433"/>
      <c r="AM150" s="1487">
        <f>IFERROR(IF(OR(N153="ベア加算",N153=""),0, IF(OR(U150="新加算Ⅰ",U150="新加算Ⅱ",U150="新加算Ⅲ",U150="新加算Ⅳ"),ROUNDDOWN(ROUND(L150*VLOOKUP(K150,【参考】数式用!$A$5:$I$27,MATCH("ベア加算",【参考】数式用!$B$4:$I$4,0)+1,0),0)*M150,0)*AG150,0)),"")</f>
        <v>0</v>
      </c>
      <c r="AN150" s="1502"/>
      <c r="AO150" s="1364"/>
      <c r="AP150" s="1403"/>
      <c r="AQ150" s="1403"/>
      <c r="AR150" s="1489"/>
      <c r="AS150" s="1491"/>
      <c r="AT150" s="556" t="str">
        <f t="shared" si="134"/>
        <v/>
      </c>
      <c r="AU150" s="651"/>
      <c r="AV150" s="1493" t="str">
        <f>IF(K150&lt;&gt;"","V列に色付け","")</f>
        <v/>
      </c>
      <c r="AW150" s="652" t="str">
        <f>IF('別紙様式2-2（４・５月分）'!O116="","",'別紙様式2-2（４・５月分）'!O116)</f>
        <v/>
      </c>
      <c r="AX150" s="1507" t="str">
        <f>IF(SUM('別紙様式2-2（４・５月分）'!P116:P118)=0,"",SUM('別紙様式2-2（４・５月分）'!P116:P118))</f>
        <v/>
      </c>
      <c r="AY150" s="1506" t="str">
        <f>IFERROR(VLOOKUP(K150,【参考】数式用!$AJ$2:$AK$24,2,FALSE),"")</f>
        <v/>
      </c>
      <c r="AZ150" s="1321" t="s">
        <v>2098</v>
      </c>
      <c r="BA150" s="1321" t="s">
        <v>2099</v>
      </c>
      <c r="BB150" s="1321" t="s">
        <v>2100</v>
      </c>
      <c r="BC150" s="1321" t="s">
        <v>2101</v>
      </c>
      <c r="BD150" s="1321" t="str">
        <f>IF(AND(P150&lt;&gt;"新加算Ⅰ",P150&lt;&gt;"新加算Ⅱ",P150&lt;&gt;"新加算Ⅲ",P150&lt;&gt;"新加算Ⅳ"),P150,IF(Q152&lt;&gt;"",Q152,""))</f>
        <v/>
      </c>
      <c r="BE150" s="1321"/>
      <c r="BF150" s="1321" t="str">
        <f t="shared" ref="BF150" si="140">IF(AM150&lt;&gt;0,IF(AN150="○","入力済","未入力"),"")</f>
        <v/>
      </c>
      <c r="BG150" s="1321"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321" t="str">
        <f>IF(OR(U150="新加算Ⅴ（７）",U150="新加算Ⅴ（９）",U150="新加算Ⅴ（10）",U150="新加算Ⅴ（12）",U150="新加算Ⅴ（13）",U150="新加算Ⅴ（14）"),IF(OR(AP150="○",AP150="令和６年度中に満たす"),"入力済","未入力"),"")</f>
        <v/>
      </c>
      <c r="BI150" s="1321" t="str">
        <f>IF(OR(U150="新加算Ⅰ",U150="新加算Ⅱ",U150="新加算Ⅲ",U150="新加算Ⅴ（１）",U150="新加算Ⅴ（３）",U150="新加算Ⅴ（８）"),IF(OR(AQ150="○",AQ150="令和６年度中に満たす"),"入力済","未入力"),"")</f>
        <v/>
      </c>
      <c r="BJ150" s="1512"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493" t="str">
        <f>IF(OR(U150="新加算Ⅰ",U150="新加算Ⅴ（１）",U150="新加算Ⅴ（２）",U150="新加算Ⅴ（５）",U150="新加算Ⅴ（７）",U150="新加算Ⅴ（10）"),IF(AS150="","未入力","入力済"),"")</f>
        <v/>
      </c>
      <c r="BL150" s="543" t="str">
        <f>G150</f>
        <v/>
      </c>
    </row>
    <row r="151" spans="1:64" ht="15" customHeight="1">
      <c r="A151" s="1226"/>
      <c r="B151" s="1272"/>
      <c r="C151" s="1261"/>
      <c r="D151" s="1261"/>
      <c r="E151" s="1261"/>
      <c r="F151" s="1262"/>
      <c r="G151" s="1266"/>
      <c r="H151" s="1266"/>
      <c r="I151" s="1266"/>
      <c r="J151" s="1372"/>
      <c r="K151" s="1266"/>
      <c r="L151" s="1247"/>
      <c r="M151" s="1374"/>
      <c r="N151" s="1370" t="str">
        <f>IF('別紙様式2-2（４・５月分）'!Q117="","",'別紙様式2-2（４・５月分）'!Q117)</f>
        <v/>
      </c>
      <c r="O151" s="1367"/>
      <c r="P151" s="1383"/>
      <c r="Q151" s="1384"/>
      <c r="R151" s="1385"/>
      <c r="S151" s="1393"/>
      <c r="T151" s="1414"/>
      <c r="U151" s="1416"/>
      <c r="V151" s="1458"/>
      <c r="W151" s="1351"/>
      <c r="X151" s="1353"/>
      <c r="Y151" s="1355"/>
      <c r="Z151" s="1353"/>
      <c r="AA151" s="1355"/>
      <c r="AB151" s="1353"/>
      <c r="AC151" s="1355"/>
      <c r="AD151" s="1353"/>
      <c r="AE151" s="1355"/>
      <c r="AF151" s="1355"/>
      <c r="AG151" s="1355"/>
      <c r="AH151" s="1361"/>
      <c r="AI151" s="1482"/>
      <c r="AJ151" s="1484"/>
      <c r="AK151" s="1486"/>
      <c r="AL151" s="1434"/>
      <c r="AM151" s="1488"/>
      <c r="AN151" s="1503"/>
      <c r="AO151" s="1365"/>
      <c r="AP151" s="1404"/>
      <c r="AQ151" s="1404"/>
      <c r="AR151" s="1490"/>
      <c r="AS151" s="1492"/>
      <c r="AT151" s="1331" t="str">
        <f t="shared" si="136"/>
        <v/>
      </c>
      <c r="AU151" s="651"/>
      <c r="AV151" s="1493"/>
      <c r="AW151" s="1518" t="str">
        <f>IF('別紙様式2-2（４・５月分）'!O117="","",'別紙様式2-2（４・５月分）'!O117)</f>
        <v/>
      </c>
      <c r="AX151" s="1507"/>
      <c r="AY151" s="1506"/>
      <c r="AZ151" s="1321"/>
      <c r="BA151" s="1321"/>
      <c r="BB151" s="1321"/>
      <c r="BC151" s="1321"/>
      <c r="BD151" s="1321"/>
      <c r="BE151" s="1321"/>
      <c r="BF151" s="1321"/>
      <c r="BG151" s="1321"/>
      <c r="BH151" s="1321"/>
      <c r="BI151" s="1321"/>
      <c r="BJ151" s="1512"/>
      <c r="BK151" s="1493"/>
      <c r="BL151" s="543" t="str">
        <f>G150</f>
        <v/>
      </c>
    </row>
    <row r="152" spans="1:64" ht="15" customHeight="1">
      <c r="A152" s="1240"/>
      <c r="B152" s="1272"/>
      <c r="C152" s="1261"/>
      <c r="D152" s="1261"/>
      <c r="E152" s="1261"/>
      <c r="F152" s="1262"/>
      <c r="G152" s="1266"/>
      <c r="H152" s="1266"/>
      <c r="I152" s="1266"/>
      <c r="J152" s="1372"/>
      <c r="K152" s="1266"/>
      <c r="L152" s="1247"/>
      <c r="M152" s="1374"/>
      <c r="N152" s="1371"/>
      <c r="O152" s="1368"/>
      <c r="P152" s="1390" t="s">
        <v>2179</v>
      </c>
      <c r="Q152" s="1386" t="str">
        <f>IFERROR(VLOOKUP('別紙様式2-2（４・５月分）'!AR116,【参考】数式用!$AT$5:$AV$22,3,FALSE),"")</f>
        <v/>
      </c>
      <c r="R152" s="1388" t="s">
        <v>2190</v>
      </c>
      <c r="S152" s="1394" t="str">
        <f>IFERROR(VLOOKUP(K150,【参考】数式用!$A$5:$AB$27,MATCH(Q152,【参考】数式用!$B$4:$AB$4,0)+1,0),"")</f>
        <v/>
      </c>
      <c r="T152" s="1459" t="s">
        <v>217</v>
      </c>
      <c r="U152" s="1461"/>
      <c r="V152" s="1463" t="str">
        <f>IFERROR(VLOOKUP(K150,【参考】数式用!$A$5:$AB$27,MATCH(U152,【参考】数式用!$B$4:$AB$4,0)+1,0),"")</f>
        <v/>
      </c>
      <c r="W152" s="1465" t="s">
        <v>19</v>
      </c>
      <c r="X152" s="1508">
        <v>7</v>
      </c>
      <c r="Y152" s="1407" t="s">
        <v>10</v>
      </c>
      <c r="Z152" s="1508">
        <v>4</v>
      </c>
      <c r="AA152" s="1407" t="s">
        <v>45</v>
      </c>
      <c r="AB152" s="1508">
        <v>8</v>
      </c>
      <c r="AC152" s="1407" t="s">
        <v>10</v>
      </c>
      <c r="AD152" s="1508">
        <v>3</v>
      </c>
      <c r="AE152" s="1407" t="s">
        <v>13</v>
      </c>
      <c r="AF152" s="1407" t="s">
        <v>24</v>
      </c>
      <c r="AG152" s="1407">
        <f>IF(X152&gt;=1,(AB152*12+AD152)-(X152*12+Z152)+1,"")</f>
        <v>12</v>
      </c>
      <c r="AH152" s="1409" t="s">
        <v>38</v>
      </c>
      <c r="AI152" s="1496" t="str">
        <f>IFERROR(ROUNDDOWN(ROUND(L150*V152,0)*M150,0)*AG152,"")</f>
        <v/>
      </c>
      <c r="AJ152" s="1510" t="str">
        <f>IFERROR(ROUNDDOWN(ROUND((L150*(V152-AX150)),0)*M150,0)*AG152,"")</f>
        <v/>
      </c>
      <c r="AK152" s="1494">
        <f>IFERROR(IF(OR(N150="",N151="",N153=""),0,ROUNDDOWN(ROUNDDOWN(ROUND(L150*VLOOKUP(K150,【参考】数式用!$A$5:$AB$27,MATCH("新加算Ⅳ",【参考】数式用!$B$4:$AB$4,0)+1,0),0)*M150,0)*AG152*0.5,0)),"")</f>
        <v>0</v>
      </c>
      <c r="AL152" s="1435" t="str">
        <f t="shared" ref="AL152" si="141">IF(U152&lt;&gt;"","新規に適用","")</f>
        <v/>
      </c>
      <c r="AM152" s="1498">
        <f>IFERROR(IF(OR(N153="ベア加算",N153=""),0, IF(OR(U150="新加算Ⅰ",U150="新加算Ⅱ",U150="新加算Ⅲ",U150="新加算Ⅳ"),0,ROUNDDOWN(ROUND(L150*VLOOKUP(K150,【参考】数式用!$A$5:$I$27,MATCH("ベア加算",【参考】数式用!$B$4:$I$4,0)+1,0),0)*M150,0)*AG152)),"")</f>
        <v>0</v>
      </c>
      <c r="AN152" s="1356" t="str">
        <f t="shared" ref="AN152" si="142">IF(AM152=0,"",IF(AND(U152&lt;&gt;"",AN150=""),"新規に適用",IF(AND(U152&lt;&gt;"",AN150&lt;&gt;""),"継続で適用","")))</f>
        <v/>
      </c>
      <c r="AO152" s="1356" t="str">
        <f>IF(AND(U152&lt;&gt;"",AO150=""),"新規に適用",IF(AND(U152&lt;&gt;"",AO150&lt;&gt;""),"継続で適用",""))</f>
        <v/>
      </c>
      <c r="AP152" s="1358"/>
      <c r="AQ152" s="1356" t="str">
        <f>IF(AND(U152&lt;&gt;"",AQ150=""),"新規に適用",IF(AND(U152&lt;&gt;"",AQ150&lt;&gt;""),"継続で適用",""))</f>
        <v/>
      </c>
      <c r="AR152" s="1344" t="str">
        <f t="shared" si="92"/>
        <v/>
      </c>
      <c r="AS152" s="1356" t="str">
        <f>IF(AND(U152&lt;&gt;"",AS150=""),"新規に適用",IF(AND(U152&lt;&gt;"",AS150&lt;&gt;""),"継続で適用",""))</f>
        <v/>
      </c>
      <c r="AT152" s="1331"/>
      <c r="AU152" s="651"/>
      <c r="AV152" s="1493" t="str">
        <f>IF(K150&lt;&gt;"","V列に色付け","")</f>
        <v/>
      </c>
      <c r="AW152" s="1518"/>
      <c r="AX152" s="1507"/>
      <c r="AY152" s="163"/>
      <c r="AZ152" s="163"/>
      <c r="BA152" s="163"/>
      <c r="BB152" s="163"/>
      <c r="BC152" s="163"/>
      <c r="BD152" s="163"/>
      <c r="BE152" s="163"/>
      <c r="BF152" s="163"/>
      <c r="BG152" s="163"/>
      <c r="BH152" s="163"/>
      <c r="BI152" s="163"/>
      <c r="BJ152" s="163"/>
      <c r="BK152" s="163"/>
      <c r="BL152" s="543" t="str">
        <f>G150</f>
        <v/>
      </c>
    </row>
    <row r="153" spans="1:64" ht="30" customHeight="1" thickBot="1">
      <c r="A153" s="1227"/>
      <c r="B153" s="1376"/>
      <c r="C153" s="1377"/>
      <c r="D153" s="1377"/>
      <c r="E153" s="1377"/>
      <c r="F153" s="1378"/>
      <c r="G153" s="1267"/>
      <c r="H153" s="1267"/>
      <c r="I153" s="1267"/>
      <c r="J153" s="1373"/>
      <c r="K153" s="1267"/>
      <c r="L153" s="1248"/>
      <c r="M153" s="1375"/>
      <c r="N153" s="650" t="str">
        <f>IF('別紙様式2-2（４・５月分）'!Q118="","",'別紙様式2-2（４・５月分）'!Q118)</f>
        <v/>
      </c>
      <c r="O153" s="1369"/>
      <c r="P153" s="1391"/>
      <c r="Q153" s="1387"/>
      <c r="R153" s="1389"/>
      <c r="S153" s="1395"/>
      <c r="T153" s="1460"/>
      <c r="U153" s="1462"/>
      <c r="V153" s="1464"/>
      <c r="W153" s="1466"/>
      <c r="X153" s="1509"/>
      <c r="Y153" s="1408"/>
      <c r="Z153" s="1509"/>
      <c r="AA153" s="1408"/>
      <c r="AB153" s="1509"/>
      <c r="AC153" s="1408"/>
      <c r="AD153" s="1509"/>
      <c r="AE153" s="1408"/>
      <c r="AF153" s="1408"/>
      <c r="AG153" s="1408"/>
      <c r="AH153" s="1410"/>
      <c r="AI153" s="1497"/>
      <c r="AJ153" s="1511"/>
      <c r="AK153" s="1495"/>
      <c r="AL153" s="1436"/>
      <c r="AM153" s="1499"/>
      <c r="AN153" s="1357"/>
      <c r="AO153" s="1357"/>
      <c r="AP153" s="1359"/>
      <c r="AQ153" s="1357"/>
      <c r="AR153" s="1345"/>
      <c r="AS153" s="1357"/>
      <c r="AT153" s="581" t="str">
        <f t="shared" ref="AT153" si="143">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51"/>
      <c r="AV153" s="1493"/>
      <c r="AW153" s="652" t="str">
        <f>IF('別紙様式2-2（４・５月分）'!O118="","",'別紙様式2-2（４・５月分）'!O118)</f>
        <v/>
      </c>
      <c r="AX153" s="1507"/>
      <c r="AY153" s="163"/>
      <c r="AZ153" s="163"/>
      <c r="BA153" s="163"/>
      <c r="BB153" s="163"/>
      <c r="BC153" s="163"/>
      <c r="BD153" s="163"/>
      <c r="BE153" s="163"/>
      <c r="BF153" s="163"/>
      <c r="BG153" s="163"/>
      <c r="BH153" s="163"/>
      <c r="BI153" s="163"/>
      <c r="BJ153" s="163"/>
      <c r="BK153" s="163"/>
      <c r="BL153" s="543" t="str">
        <f>G150</f>
        <v/>
      </c>
    </row>
    <row r="154" spans="1:64" ht="30" customHeight="1">
      <c r="A154" s="1241">
        <v>36</v>
      </c>
      <c r="B154" s="1271" t="str">
        <f>IF(基本情報入力シート!C89="","",基本情報入力シート!C89)</f>
        <v/>
      </c>
      <c r="C154" s="1259"/>
      <c r="D154" s="1259"/>
      <c r="E154" s="1259"/>
      <c r="F154" s="1260"/>
      <c r="G154" s="1265" t="str">
        <f>IF(基本情報入力シート!M89="","",基本情報入力シート!M89)</f>
        <v/>
      </c>
      <c r="H154" s="1265" t="str">
        <f>IF(基本情報入力シート!R89="","",基本情報入力シート!R89)</f>
        <v/>
      </c>
      <c r="I154" s="1265" t="str">
        <f>IF(基本情報入力シート!W89="","",基本情報入力シート!W89)</f>
        <v/>
      </c>
      <c r="J154" s="1379" t="str">
        <f>IF(基本情報入力シート!X89="","",基本情報入力シート!X89)</f>
        <v/>
      </c>
      <c r="K154" s="1265" t="str">
        <f>IF(基本情報入力シート!Y89="","",基本情報入力シート!Y89)</f>
        <v/>
      </c>
      <c r="L154" s="1246" t="str">
        <f>IF(基本情報入力シート!AB89="","",基本情報入力シート!AB89)</f>
        <v/>
      </c>
      <c r="M154" s="1249" t="str">
        <f>IF(基本情報入力シート!AC89="","",基本情報入力シート!AC89)</f>
        <v/>
      </c>
      <c r="N154" s="647" t="str">
        <f>IF('別紙様式2-2（４・５月分）'!Q119="","",'別紙様式2-2（４・５月分）'!Q119)</f>
        <v/>
      </c>
      <c r="O154" s="1366" t="str">
        <f>IF(SUM('別紙様式2-2（４・５月分）'!R119:R121)=0,"",SUM('別紙様式2-2（４・５月分）'!R119:R121))</f>
        <v/>
      </c>
      <c r="P154" s="1380" t="str">
        <f>IFERROR(VLOOKUP('別紙様式2-2（４・５月分）'!AR119,【参考】数式用!$AT$5:$AU$22,2,FALSE),"")</f>
        <v/>
      </c>
      <c r="Q154" s="1381"/>
      <c r="R154" s="1382"/>
      <c r="S154" s="1392" t="str">
        <f>IFERROR(VLOOKUP(K154,【参考】数式用!$A$5:$AB$27,MATCH(P154,【参考】数式用!$B$4:$AB$4,0)+1,0),"")</f>
        <v/>
      </c>
      <c r="T154" s="1413" t="s">
        <v>2173</v>
      </c>
      <c r="U154" s="1415"/>
      <c r="V154" s="1457" t="str">
        <f>IFERROR(VLOOKUP(K154,【参考】数式用!$A$5:$AB$27,MATCH(U154,【参考】数式用!$B$4:$AB$4,0)+1,0),"")</f>
        <v/>
      </c>
      <c r="W154" s="1350" t="s">
        <v>19</v>
      </c>
      <c r="X154" s="1352">
        <v>6</v>
      </c>
      <c r="Y154" s="1354" t="s">
        <v>10</v>
      </c>
      <c r="Z154" s="1352">
        <v>6</v>
      </c>
      <c r="AA154" s="1354" t="s">
        <v>45</v>
      </c>
      <c r="AB154" s="1352">
        <v>7</v>
      </c>
      <c r="AC154" s="1354" t="s">
        <v>10</v>
      </c>
      <c r="AD154" s="1352">
        <v>3</v>
      </c>
      <c r="AE154" s="1354" t="s">
        <v>13</v>
      </c>
      <c r="AF154" s="1354" t="s">
        <v>24</v>
      </c>
      <c r="AG154" s="1354">
        <f>IF(X154&gt;=1,(AB154*12+AD154)-(X154*12+Z154)+1,"")</f>
        <v>10</v>
      </c>
      <c r="AH154" s="1360" t="s">
        <v>38</v>
      </c>
      <c r="AI154" s="1481" t="str">
        <f>IFERROR(ROUNDDOWN(ROUND(L154*V154,0)*M154,0)*AG154,"")</f>
        <v/>
      </c>
      <c r="AJ154" s="1483" t="str">
        <f>IFERROR(ROUNDDOWN(ROUND((L154*(V154-AX154)),0)*M154,0)*AG154,"")</f>
        <v/>
      </c>
      <c r="AK154" s="1485">
        <f>IFERROR(IF(OR(N154="",N155="",N157=""),0,ROUNDDOWN(ROUNDDOWN(ROUND(L154*VLOOKUP(K154,【参考】数式用!$A$5:$AB$27,MATCH("新加算Ⅳ",【参考】数式用!$B$4:$AB$4,0)+1,0),0)*M154,0)*AG154*0.5,0)),"")</f>
        <v>0</v>
      </c>
      <c r="AL154" s="1433"/>
      <c r="AM154" s="1487">
        <f>IFERROR(IF(OR(N157="ベア加算",N157=""),0, IF(OR(U154="新加算Ⅰ",U154="新加算Ⅱ",U154="新加算Ⅲ",U154="新加算Ⅳ"),ROUNDDOWN(ROUND(L154*VLOOKUP(K154,【参考】数式用!$A$5:$I$27,MATCH("ベア加算",【参考】数式用!$B$4:$I$4,0)+1,0),0)*M154,0)*AG154,0)),"")</f>
        <v>0</v>
      </c>
      <c r="AN154" s="1502"/>
      <c r="AO154" s="1364"/>
      <c r="AP154" s="1403"/>
      <c r="AQ154" s="1403"/>
      <c r="AR154" s="1489"/>
      <c r="AS154" s="1491"/>
      <c r="AT154" s="556" t="str">
        <f t="shared" si="134"/>
        <v/>
      </c>
      <c r="AU154" s="651"/>
      <c r="AV154" s="1493" t="str">
        <f>IF(K154&lt;&gt;"","V列に色付け","")</f>
        <v/>
      </c>
      <c r="AW154" s="652" t="str">
        <f>IF('別紙様式2-2（４・５月分）'!O119="","",'別紙様式2-2（４・５月分）'!O119)</f>
        <v/>
      </c>
      <c r="AX154" s="1507" t="str">
        <f>IF(SUM('別紙様式2-2（４・５月分）'!P119:P121)=0,"",SUM('別紙様式2-2（４・５月分）'!P119:P121))</f>
        <v/>
      </c>
      <c r="AY154" s="1506" t="str">
        <f>IFERROR(VLOOKUP(K154,【参考】数式用!$AJ$2:$AK$24,2,FALSE),"")</f>
        <v/>
      </c>
      <c r="AZ154" s="1321" t="s">
        <v>2098</v>
      </c>
      <c r="BA154" s="1321" t="s">
        <v>2099</v>
      </c>
      <c r="BB154" s="1321" t="s">
        <v>2100</v>
      </c>
      <c r="BC154" s="1321" t="s">
        <v>2101</v>
      </c>
      <c r="BD154" s="1321" t="str">
        <f>IF(AND(P154&lt;&gt;"新加算Ⅰ",P154&lt;&gt;"新加算Ⅱ",P154&lt;&gt;"新加算Ⅲ",P154&lt;&gt;"新加算Ⅳ"),P154,IF(Q156&lt;&gt;"",Q156,""))</f>
        <v/>
      </c>
      <c r="BE154" s="1321"/>
      <c r="BF154" s="1321" t="str">
        <f t="shared" ref="BF154" si="144">IF(AM154&lt;&gt;0,IF(AN154="○","入力済","未入力"),"")</f>
        <v/>
      </c>
      <c r="BG154" s="1321"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321" t="str">
        <f>IF(OR(U154="新加算Ⅴ（７）",U154="新加算Ⅴ（９）",U154="新加算Ⅴ（10）",U154="新加算Ⅴ（12）",U154="新加算Ⅴ（13）",U154="新加算Ⅴ（14）"),IF(OR(AP154="○",AP154="令和６年度中に満たす"),"入力済","未入力"),"")</f>
        <v/>
      </c>
      <c r="BI154" s="1321" t="str">
        <f>IF(OR(U154="新加算Ⅰ",U154="新加算Ⅱ",U154="新加算Ⅲ",U154="新加算Ⅴ（１）",U154="新加算Ⅴ（３）",U154="新加算Ⅴ（８）"),IF(OR(AQ154="○",AQ154="令和６年度中に満たす"),"入力済","未入力"),"")</f>
        <v/>
      </c>
      <c r="BJ154" s="1512"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493" t="str">
        <f>IF(OR(U154="新加算Ⅰ",U154="新加算Ⅴ（１）",U154="新加算Ⅴ（２）",U154="新加算Ⅴ（５）",U154="新加算Ⅴ（７）",U154="新加算Ⅴ（10）"),IF(AS154="","未入力","入力済"),"")</f>
        <v/>
      </c>
      <c r="BL154" s="543" t="str">
        <f>G154</f>
        <v/>
      </c>
    </row>
    <row r="155" spans="1:64" ht="15" customHeight="1">
      <c r="A155" s="1226"/>
      <c r="B155" s="1272"/>
      <c r="C155" s="1261"/>
      <c r="D155" s="1261"/>
      <c r="E155" s="1261"/>
      <c r="F155" s="1262"/>
      <c r="G155" s="1266"/>
      <c r="H155" s="1266"/>
      <c r="I155" s="1266"/>
      <c r="J155" s="1372"/>
      <c r="K155" s="1266"/>
      <c r="L155" s="1247"/>
      <c r="M155" s="1250"/>
      <c r="N155" s="1370" t="str">
        <f>IF('別紙様式2-2（４・５月分）'!Q120="","",'別紙様式2-2（４・５月分）'!Q120)</f>
        <v/>
      </c>
      <c r="O155" s="1367"/>
      <c r="P155" s="1383"/>
      <c r="Q155" s="1384"/>
      <c r="R155" s="1385"/>
      <c r="S155" s="1393"/>
      <c r="T155" s="1414"/>
      <c r="U155" s="1416"/>
      <c r="V155" s="1458"/>
      <c r="W155" s="1351"/>
      <c r="X155" s="1353"/>
      <c r="Y155" s="1355"/>
      <c r="Z155" s="1353"/>
      <c r="AA155" s="1355"/>
      <c r="AB155" s="1353"/>
      <c r="AC155" s="1355"/>
      <c r="AD155" s="1353"/>
      <c r="AE155" s="1355"/>
      <c r="AF155" s="1355"/>
      <c r="AG155" s="1355"/>
      <c r="AH155" s="1361"/>
      <c r="AI155" s="1482"/>
      <c r="AJ155" s="1484"/>
      <c r="AK155" s="1486"/>
      <c r="AL155" s="1434"/>
      <c r="AM155" s="1488"/>
      <c r="AN155" s="1503"/>
      <c r="AO155" s="1365"/>
      <c r="AP155" s="1404"/>
      <c r="AQ155" s="1404"/>
      <c r="AR155" s="1490"/>
      <c r="AS155" s="1492"/>
      <c r="AT155" s="1331" t="str">
        <f t="shared" si="136"/>
        <v/>
      </c>
      <c r="AU155" s="651"/>
      <c r="AV155" s="1493"/>
      <c r="AW155" s="1518" t="str">
        <f>IF('別紙様式2-2（４・５月分）'!O120="","",'別紙様式2-2（４・５月分）'!O120)</f>
        <v/>
      </c>
      <c r="AX155" s="1507"/>
      <c r="AY155" s="1506"/>
      <c r="AZ155" s="1321"/>
      <c r="BA155" s="1321"/>
      <c r="BB155" s="1321"/>
      <c r="BC155" s="1321"/>
      <c r="BD155" s="1321"/>
      <c r="BE155" s="1321"/>
      <c r="BF155" s="1321"/>
      <c r="BG155" s="1321"/>
      <c r="BH155" s="1321"/>
      <c r="BI155" s="1321"/>
      <c r="BJ155" s="1512"/>
      <c r="BK155" s="1493"/>
      <c r="BL155" s="543" t="str">
        <f>G154</f>
        <v/>
      </c>
    </row>
    <row r="156" spans="1:64" ht="15" customHeight="1">
      <c r="A156" s="1240"/>
      <c r="B156" s="1272"/>
      <c r="C156" s="1261"/>
      <c r="D156" s="1261"/>
      <c r="E156" s="1261"/>
      <c r="F156" s="1262"/>
      <c r="G156" s="1266"/>
      <c r="H156" s="1266"/>
      <c r="I156" s="1266"/>
      <c r="J156" s="1372"/>
      <c r="K156" s="1266"/>
      <c r="L156" s="1247"/>
      <c r="M156" s="1250"/>
      <c r="N156" s="1371"/>
      <c r="O156" s="1368"/>
      <c r="P156" s="1390" t="s">
        <v>2179</v>
      </c>
      <c r="Q156" s="1386" t="str">
        <f>IFERROR(VLOOKUP('別紙様式2-2（４・５月分）'!AR119,【参考】数式用!$AT$5:$AV$22,3,FALSE),"")</f>
        <v/>
      </c>
      <c r="R156" s="1388" t="s">
        <v>2190</v>
      </c>
      <c r="S156" s="1396" t="str">
        <f>IFERROR(VLOOKUP(K154,【参考】数式用!$A$5:$AB$27,MATCH(Q156,【参考】数式用!$B$4:$AB$4,0)+1,0),"")</f>
        <v/>
      </c>
      <c r="T156" s="1459" t="s">
        <v>217</v>
      </c>
      <c r="U156" s="1461"/>
      <c r="V156" s="1463" t="str">
        <f>IFERROR(VLOOKUP(K154,【参考】数式用!$A$5:$AB$27,MATCH(U156,【参考】数式用!$B$4:$AB$4,0)+1,0),"")</f>
        <v/>
      </c>
      <c r="W156" s="1465" t="s">
        <v>19</v>
      </c>
      <c r="X156" s="1508">
        <v>7</v>
      </c>
      <c r="Y156" s="1407" t="s">
        <v>10</v>
      </c>
      <c r="Z156" s="1508">
        <v>4</v>
      </c>
      <c r="AA156" s="1407" t="s">
        <v>45</v>
      </c>
      <c r="AB156" s="1508">
        <v>8</v>
      </c>
      <c r="AC156" s="1407" t="s">
        <v>10</v>
      </c>
      <c r="AD156" s="1508">
        <v>3</v>
      </c>
      <c r="AE156" s="1407" t="s">
        <v>13</v>
      </c>
      <c r="AF156" s="1407" t="s">
        <v>24</v>
      </c>
      <c r="AG156" s="1407">
        <f>IF(X156&gt;=1,(AB156*12+AD156)-(X156*12+Z156)+1,"")</f>
        <v>12</v>
      </c>
      <c r="AH156" s="1409" t="s">
        <v>38</v>
      </c>
      <c r="AI156" s="1496" t="str">
        <f>IFERROR(ROUNDDOWN(ROUND(L154*V156,0)*M154,0)*AG156,"")</f>
        <v/>
      </c>
      <c r="AJ156" s="1510" t="str">
        <f>IFERROR(ROUNDDOWN(ROUND((L154*(V156-AX154)),0)*M154,0)*AG156,"")</f>
        <v/>
      </c>
      <c r="AK156" s="1494">
        <f>IFERROR(IF(OR(N154="",N155="",N157=""),0,ROUNDDOWN(ROUNDDOWN(ROUND(L154*VLOOKUP(K154,【参考】数式用!$A$5:$AB$27,MATCH("新加算Ⅳ",【参考】数式用!$B$4:$AB$4,0)+1,0),0)*M154,0)*AG156*0.5,0)),"")</f>
        <v>0</v>
      </c>
      <c r="AL156" s="1435" t="str">
        <f t="shared" ref="AL156" si="145">IF(U156&lt;&gt;"","新規に適用","")</f>
        <v/>
      </c>
      <c r="AM156" s="1498">
        <f>IFERROR(IF(OR(N157="ベア加算",N157=""),0, IF(OR(U154="新加算Ⅰ",U154="新加算Ⅱ",U154="新加算Ⅲ",U154="新加算Ⅳ"),0,ROUNDDOWN(ROUND(L154*VLOOKUP(K154,【参考】数式用!$A$5:$I$27,MATCH("ベア加算",【参考】数式用!$B$4:$I$4,0)+1,0),0)*M154,0)*AG156)),"")</f>
        <v>0</v>
      </c>
      <c r="AN156" s="1356" t="str">
        <f t="shared" ref="AN156" si="146">IF(AM156=0,"",IF(AND(U156&lt;&gt;"",AN154=""),"新規に適用",IF(AND(U156&lt;&gt;"",AN154&lt;&gt;""),"継続で適用","")))</f>
        <v/>
      </c>
      <c r="AO156" s="1356" t="str">
        <f>IF(AND(U156&lt;&gt;"",AO154=""),"新規に適用",IF(AND(U156&lt;&gt;"",AO154&lt;&gt;""),"継続で適用",""))</f>
        <v/>
      </c>
      <c r="AP156" s="1358"/>
      <c r="AQ156" s="1356" t="str">
        <f>IF(AND(U156&lt;&gt;"",AQ154=""),"新規に適用",IF(AND(U156&lt;&gt;"",AQ154&lt;&gt;""),"継続で適用",""))</f>
        <v/>
      </c>
      <c r="AR156" s="1344" t="str">
        <f t="shared" si="92"/>
        <v/>
      </c>
      <c r="AS156" s="1356" t="str">
        <f>IF(AND(U156&lt;&gt;"",AS154=""),"新規に適用",IF(AND(U156&lt;&gt;"",AS154&lt;&gt;""),"継続で適用",""))</f>
        <v/>
      </c>
      <c r="AT156" s="1331"/>
      <c r="AU156" s="651"/>
      <c r="AV156" s="1493" t="str">
        <f>IF(K154&lt;&gt;"","V列に色付け","")</f>
        <v/>
      </c>
      <c r="AW156" s="1518"/>
      <c r="AX156" s="1507"/>
      <c r="AY156" s="163"/>
      <c r="AZ156" s="163"/>
      <c r="BA156" s="163"/>
      <c r="BB156" s="163"/>
      <c r="BC156" s="163"/>
      <c r="BD156" s="163"/>
      <c r="BE156" s="163"/>
      <c r="BF156" s="163"/>
      <c r="BG156" s="163"/>
      <c r="BH156" s="163"/>
      <c r="BI156" s="163"/>
      <c r="BJ156" s="163"/>
      <c r="BK156" s="163"/>
      <c r="BL156" s="543" t="str">
        <f>G154</f>
        <v/>
      </c>
    </row>
    <row r="157" spans="1:64" ht="30" customHeight="1" thickBot="1">
      <c r="A157" s="1227"/>
      <c r="B157" s="1376"/>
      <c r="C157" s="1377"/>
      <c r="D157" s="1377"/>
      <c r="E157" s="1377"/>
      <c r="F157" s="1378"/>
      <c r="G157" s="1267"/>
      <c r="H157" s="1267"/>
      <c r="I157" s="1267"/>
      <c r="J157" s="1373"/>
      <c r="K157" s="1267"/>
      <c r="L157" s="1248"/>
      <c r="M157" s="1251"/>
      <c r="N157" s="650" t="str">
        <f>IF('別紙様式2-2（４・５月分）'!Q121="","",'別紙様式2-2（４・５月分）'!Q121)</f>
        <v/>
      </c>
      <c r="O157" s="1369"/>
      <c r="P157" s="1391"/>
      <c r="Q157" s="1387"/>
      <c r="R157" s="1389"/>
      <c r="S157" s="1395"/>
      <c r="T157" s="1460"/>
      <c r="U157" s="1462"/>
      <c r="V157" s="1464"/>
      <c r="W157" s="1466"/>
      <c r="X157" s="1509"/>
      <c r="Y157" s="1408"/>
      <c r="Z157" s="1509"/>
      <c r="AA157" s="1408"/>
      <c r="AB157" s="1509"/>
      <c r="AC157" s="1408"/>
      <c r="AD157" s="1509"/>
      <c r="AE157" s="1408"/>
      <c r="AF157" s="1408"/>
      <c r="AG157" s="1408"/>
      <c r="AH157" s="1410"/>
      <c r="AI157" s="1497"/>
      <c r="AJ157" s="1511"/>
      <c r="AK157" s="1495"/>
      <c r="AL157" s="1436"/>
      <c r="AM157" s="1499"/>
      <c r="AN157" s="1357"/>
      <c r="AO157" s="1357"/>
      <c r="AP157" s="1359"/>
      <c r="AQ157" s="1357"/>
      <c r="AR157" s="1345"/>
      <c r="AS157" s="1357"/>
      <c r="AT157" s="581" t="str">
        <f t="shared" ref="AT157" si="147">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51"/>
      <c r="AV157" s="1493"/>
      <c r="AW157" s="652" t="str">
        <f>IF('別紙様式2-2（４・５月分）'!O121="","",'別紙様式2-2（４・５月分）'!O121)</f>
        <v/>
      </c>
      <c r="AX157" s="1507"/>
      <c r="AY157" s="163"/>
      <c r="AZ157" s="163"/>
      <c r="BA157" s="163"/>
      <c r="BB157" s="163"/>
      <c r="BC157" s="163"/>
      <c r="BD157" s="163"/>
      <c r="BE157" s="163"/>
      <c r="BF157" s="163"/>
      <c r="BG157" s="163"/>
      <c r="BH157" s="163"/>
      <c r="BI157" s="163"/>
      <c r="BJ157" s="163"/>
      <c r="BK157" s="163"/>
      <c r="BL157" s="543" t="str">
        <f>G154</f>
        <v/>
      </c>
    </row>
    <row r="158" spans="1:64" ht="30" customHeight="1">
      <c r="A158" s="1225">
        <v>37</v>
      </c>
      <c r="B158" s="1272" t="str">
        <f>IF(基本情報入力シート!C90="","",基本情報入力シート!C90)</f>
        <v/>
      </c>
      <c r="C158" s="1261"/>
      <c r="D158" s="1261"/>
      <c r="E158" s="1261"/>
      <c r="F158" s="1262"/>
      <c r="G158" s="1266" t="str">
        <f>IF(基本情報入力シート!M90="","",基本情報入力シート!M90)</f>
        <v/>
      </c>
      <c r="H158" s="1266" t="str">
        <f>IF(基本情報入力シート!R90="","",基本情報入力シート!R90)</f>
        <v/>
      </c>
      <c r="I158" s="1266" t="str">
        <f>IF(基本情報入力シート!W90="","",基本情報入力シート!W90)</f>
        <v/>
      </c>
      <c r="J158" s="1372" t="str">
        <f>IF(基本情報入力シート!X90="","",基本情報入力シート!X90)</f>
        <v/>
      </c>
      <c r="K158" s="1266" t="str">
        <f>IF(基本情報入力シート!Y90="","",基本情報入力シート!Y90)</f>
        <v/>
      </c>
      <c r="L158" s="1247" t="str">
        <f>IF(基本情報入力シート!AB90="","",基本情報入力シート!AB90)</f>
        <v/>
      </c>
      <c r="M158" s="1374" t="str">
        <f>IF(基本情報入力シート!AC90="","",基本情報入力シート!AC90)</f>
        <v/>
      </c>
      <c r="N158" s="647" t="str">
        <f>IF('別紙様式2-2（４・５月分）'!Q122="","",'別紙様式2-2（４・５月分）'!Q122)</f>
        <v/>
      </c>
      <c r="O158" s="1366" t="str">
        <f>IF(SUM('別紙様式2-2（４・５月分）'!R122:R124)=0,"",SUM('別紙様式2-2（４・５月分）'!R122:R124))</f>
        <v/>
      </c>
      <c r="P158" s="1380" t="str">
        <f>IFERROR(VLOOKUP('別紙様式2-2（４・５月分）'!AR122,【参考】数式用!$AT$5:$AU$22,2,FALSE),"")</f>
        <v/>
      </c>
      <c r="Q158" s="1381"/>
      <c r="R158" s="1382"/>
      <c r="S158" s="1392" t="str">
        <f>IFERROR(VLOOKUP(K158,【参考】数式用!$A$5:$AB$27,MATCH(P158,【参考】数式用!$B$4:$AB$4,0)+1,0),"")</f>
        <v/>
      </c>
      <c r="T158" s="1413" t="s">
        <v>2173</v>
      </c>
      <c r="U158" s="1415"/>
      <c r="V158" s="1457" t="str">
        <f>IFERROR(VLOOKUP(K158,【参考】数式用!$A$5:$AB$27,MATCH(U158,【参考】数式用!$B$4:$AB$4,0)+1,0),"")</f>
        <v/>
      </c>
      <c r="W158" s="1350" t="s">
        <v>19</v>
      </c>
      <c r="X158" s="1352">
        <v>6</v>
      </c>
      <c r="Y158" s="1354" t="s">
        <v>10</v>
      </c>
      <c r="Z158" s="1352">
        <v>6</v>
      </c>
      <c r="AA158" s="1354" t="s">
        <v>45</v>
      </c>
      <c r="AB158" s="1352">
        <v>7</v>
      </c>
      <c r="AC158" s="1354" t="s">
        <v>10</v>
      </c>
      <c r="AD158" s="1352">
        <v>3</v>
      </c>
      <c r="AE158" s="1354" t="s">
        <v>13</v>
      </c>
      <c r="AF158" s="1354" t="s">
        <v>24</v>
      </c>
      <c r="AG158" s="1354">
        <f>IF(X158&gt;=1,(AB158*12+AD158)-(X158*12+Z158)+1,"")</f>
        <v>10</v>
      </c>
      <c r="AH158" s="1360" t="s">
        <v>38</v>
      </c>
      <c r="AI158" s="1481" t="str">
        <f>IFERROR(ROUNDDOWN(ROUND(L158*V158,0)*M158,0)*AG158,"")</f>
        <v/>
      </c>
      <c r="AJ158" s="1483" t="str">
        <f>IFERROR(ROUNDDOWN(ROUND((L158*(V158-AX158)),0)*M158,0)*AG158,"")</f>
        <v/>
      </c>
      <c r="AK158" s="1485">
        <f>IFERROR(IF(OR(N158="",N159="",N161=""),0,ROUNDDOWN(ROUNDDOWN(ROUND(L158*VLOOKUP(K158,【参考】数式用!$A$5:$AB$27,MATCH("新加算Ⅳ",【参考】数式用!$B$4:$AB$4,0)+1,0),0)*M158,0)*AG158*0.5,0)),"")</f>
        <v>0</v>
      </c>
      <c r="AL158" s="1433"/>
      <c r="AM158" s="1487">
        <f>IFERROR(IF(OR(N161="ベア加算",N161=""),0, IF(OR(U158="新加算Ⅰ",U158="新加算Ⅱ",U158="新加算Ⅲ",U158="新加算Ⅳ"),ROUNDDOWN(ROUND(L158*VLOOKUP(K158,【参考】数式用!$A$5:$I$27,MATCH("ベア加算",【参考】数式用!$B$4:$I$4,0)+1,0),0)*M158,0)*AG158,0)),"")</f>
        <v>0</v>
      </c>
      <c r="AN158" s="1502"/>
      <c r="AO158" s="1364"/>
      <c r="AP158" s="1403"/>
      <c r="AQ158" s="1403"/>
      <c r="AR158" s="1489"/>
      <c r="AS158" s="1491"/>
      <c r="AT158" s="556" t="str">
        <f t="shared" si="134"/>
        <v/>
      </c>
      <c r="AU158" s="651"/>
      <c r="AV158" s="1493" t="str">
        <f>IF(K158&lt;&gt;"","V列に色付け","")</f>
        <v/>
      </c>
      <c r="AW158" s="652" t="str">
        <f>IF('別紙様式2-2（４・５月分）'!O122="","",'別紙様式2-2（４・５月分）'!O122)</f>
        <v/>
      </c>
      <c r="AX158" s="1507" t="str">
        <f>IF(SUM('別紙様式2-2（４・５月分）'!P122:P124)=0,"",SUM('別紙様式2-2（４・５月分）'!P122:P124))</f>
        <v/>
      </c>
      <c r="AY158" s="1506" t="str">
        <f>IFERROR(VLOOKUP(K158,【参考】数式用!$AJ$2:$AK$24,2,FALSE),"")</f>
        <v/>
      </c>
      <c r="AZ158" s="1321" t="s">
        <v>2098</v>
      </c>
      <c r="BA158" s="1321" t="s">
        <v>2099</v>
      </c>
      <c r="BB158" s="1321" t="s">
        <v>2100</v>
      </c>
      <c r="BC158" s="1321" t="s">
        <v>2101</v>
      </c>
      <c r="BD158" s="1321" t="str">
        <f>IF(AND(P158&lt;&gt;"新加算Ⅰ",P158&lt;&gt;"新加算Ⅱ",P158&lt;&gt;"新加算Ⅲ",P158&lt;&gt;"新加算Ⅳ"),P158,IF(Q160&lt;&gt;"",Q160,""))</f>
        <v/>
      </c>
      <c r="BE158" s="1321"/>
      <c r="BF158" s="1321" t="str">
        <f t="shared" ref="BF158" si="148">IF(AM158&lt;&gt;0,IF(AN158="○","入力済","未入力"),"")</f>
        <v/>
      </c>
      <c r="BG158" s="1321"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321" t="str">
        <f>IF(OR(U158="新加算Ⅴ（７）",U158="新加算Ⅴ（９）",U158="新加算Ⅴ（10）",U158="新加算Ⅴ（12）",U158="新加算Ⅴ（13）",U158="新加算Ⅴ（14）"),IF(OR(AP158="○",AP158="令和６年度中に満たす"),"入力済","未入力"),"")</f>
        <v/>
      </c>
      <c r="BI158" s="1321" t="str">
        <f>IF(OR(U158="新加算Ⅰ",U158="新加算Ⅱ",U158="新加算Ⅲ",U158="新加算Ⅴ（１）",U158="新加算Ⅴ（３）",U158="新加算Ⅴ（８）"),IF(OR(AQ158="○",AQ158="令和６年度中に満たす"),"入力済","未入力"),"")</f>
        <v/>
      </c>
      <c r="BJ158" s="1512"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493" t="str">
        <f>IF(OR(U158="新加算Ⅰ",U158="新加算Ⅴ（１）",U158="新加算Ⅴ（２）",U158="新加算Ⅴ（５）",U158="新加算Ⅴ（７）",U158="新加算Ⅴ（10）"),IF(AS158="","未入力","入力済"),"")</f>
        <v/>
      </c>
      <c r="BL158" s="543" t="str">
        <f>G158</f>
        <v/>
      </c>
    </row>
    <row r="159" spans="1:64" ht="15" customHeight="1">
      <c r="A159" s="1226"/>
      <c r="B159" s="1272"/>
      <c r="C159" s="1261"/>
      <c r="D159" s="1261"/>
      <c r="E159" s="1261"/>
      <c r="F159" s="1262"/>
      <c r="G159" s="1266"/>
      <c r="H159" s="1266"/>
      <c r="I159" s="1266"/>
      <c r="J159" s="1372"/>
      <c r="K159" s="1266"/>
      <c r="L159" s="1247"/>
      <c r="M159" s="1374"/>
      <c r="N159" s="1370" t="str">
        <f>IF('別紙様式2-2（４・５月分）'!Q123="","",'別紙様式2-2（４・５月分）'!Q123)</f>
        <v/>
      </c>
      <c r="O159" s="1367"/>
      <c r="P159" s="1383"/>
      <c r="Q159" s="1384"/>
      <c r="R159" s="1385"/>
      <c r="S159" s="1393"/>
      <c r="T159" s="1414"/>
      <c r="U159" s="1416"/>
      <c r="V159" s="1458"/>
      <c r="W159" s="1351"/>
      <c r="X159" s="1353"/>
      <c r="Y159" s="1355"/>
      <c r="Z159" s="1353"/>
      <c r="AA159" s="1355"/>
      <c r="AB159" s="1353"/>
      <c r="AC159" s="1355"/>
      <c r="AD159" s="1353"/>
      <c r="AE159" s="1355"/>
      <c r="AF159" s="1355"/>
      <c r="AG159" s="1355"/>
      <c r="AH159" s="1361"/>
      <c r="AI159" s="1482"/>
      <c r="AJ159" s="1484"/>
      <c r="AK159" s="1486"/>
      <c r="AL159" s="1434"/>
      <c r="AM159" s="1488"/>
      <c r="AN159" s="1503"/>
      <c r="AO159" s="1365"/>
      <c r="AP159" s="1404"/>
      <c r="AQ159" s="1404"/>
      <c r="AR159" s="1490"/>
      <c r="AS159" s="1492"/>
      <c r="AT159" s="1331" t="str">
        <f t="shared" si="136"/>
        <v/>
      </c>
      <c r="AU159" s="651"/>
      <c r="AV159" s="1493"/>
      <c r="AW159" s="1518" t="str">
        <f>IF('別紙様式2-2（４・５月分）'!O123="","",'別紙様式2-2（４・５月分）'!O123)</f>
        <v/>
      </c>
      <c r="AX159" s="1507"/>
      <c r="AY159" s="1506"/>
      <c r="AZ159" s="1321"/>
      <c r="BA159" s="1321"/>
      <c r="BB159" s="1321"/>
      <c r="BC159" s="1321"/>
      <c r="BD159" s="1321"/>
      <c r="BE159" s="1321"/>
      <c r="BF159" s="1321"/>
      <c r="BG159" s="1321"/>
      <c r="BH159" s="1321"/>
      <c r="BI159" s="1321"/>
      <c r="BJ159" s="1512"/>
      <c r="BK159" s="1493"/>
      <c r="BL159" s="543" t="str">
        <f>G158</f>
        <v/>
      </c>
    </row>
    <row r="160" spans="1:64" ht="15" customHeight="1">
      <c r="A160" s="1240"/>
      <c r="B160" s="1272"/>
      <c r="C160" s="1261"/>
      <c r="D160" s="1261"/>
      <c r="E160" s="1261"/>
      <c r="F160" s="1262"/>
      <c r="G160" s="1266"/>
      <c r="H160" s="1266"/>
      <c r="I160" s="1266"/>
      <c r="J160" s="1372"/>
      <c r="K160" s="1266"/>
      <c r="L160" s="1247"/>
      <c r="M160" s="1374"/>
      <c r="N160" s="1371"/>
      <c r="O160" s="1368"/>
      <c r="P160" s="1390" t="s">
        <v>2179</v>
      </c>
      <c r="Q160" s="1386" t="str">
        <f>IFERROR(VLOOKUP('別紙様式2-2（４・５月分）'!AR122,【参考】数式用!$AT$5:$AV$22,3,FALSE),"")</f>
        <v/>
      </c>
      <c r="R160" s="1388" t="s">
        <v>2190</v>
      </c>
      <c r="S160" s="1394" t="str">
        <f>IFERROR(VLOOKUP(K158,【参考】数式用!$A$5:$AB$27,MATCH(Q160,【参考】数式用!$B$4:$AB$4,0)+1,0),"")</f>
        <v/>
      </c>
      <c r="T160" s="1459" t="s">
        <v>217</v>
      </c>
      <c r="U160" s="1461"/>
      <c r="V160" s="1463" t="str">
        <f>IFERROR(VLOOKUP(K158,【参考】数式用!$A$5:$AB$27,MATCH(U160,【参考】数式用!$B$4:$AB$4,0)+1,0),"")</f>
        <v/>
      </c>
      <c r="W160" s="1465" t="s">
        <v>19</v>
      </c>
      <c r="X160" s="1508">
        <v>7</v>
      </c>
      <c r="Y160" s="1407" t="s">
        <v>10</v>
      </c>
      <c r="Z160" s="1508">
        <v>4</v>
      </c>
      <c r="AA160" s="1407" t="s">
        <v>45</v>
      </c>
      <c r="AB160" s="1508">
        <v>8</v>
      </c>
      <c r="AC160" s="1407" t="s">
        <v>10</v>
      </c>
      <c r="AD160" s="1508">
        <v>3</v>
      </c>
      <c r="AE160" s="1407" t="s">
        <v>13</v>
      </c>
      <c r="AF160" s="1407" t="s">
        <v>24</v>
      </c>
      <c r="AG160" s="1407">
        <f>IF(X160&gt;=1,(AB160*12+AD160)-(X160*12+Z160)+1,"")</f>
        <v>12</v>
      </c>
      <c r="AH160" s="1409" t="s">
        <v>38</v>
      </c>
      <c r="AI160" s="1496" t="str">
        <f>IFERROR(ROUNDDOWN(ROUND(L158*V160,0)*M158,0)*AG160,"")</f>
        <v/>
      </c>
      <c r="AJ160" s="1510" t="str">
        <f>IFERROR(ROUNDDOWN(ROUND((L158*(V160-AX158)),0)*M158,0)*AG160,"")</f>
        <v/>
      </c>
      <c r="AK160" s="1494">
        <f>IFERROR(IF(OR(N158="",N159="",N161=""),0,ROUNDDOWN(ROUNDDOWN(ROUND(L158*VLOOKUP(K158,【参考】数式用!$A$5:$AB$27,MATCH("新加算Ⅳ",【参考】数式用!$B$4:$AB$4,0)+1,0),0)*M158,0)*AG160*0.5,0)),"")</f>
        <v>0</v>
      </c>
      <c r="AL160" s="1435" t="str">
        <f t="shared" ref="AL160" si="149">IF(U160&lt;&gt;"","新規に適用","")</f>
        <v/>
      </c>
      <c r="AM160" s="1498">
        <f>IFERROR(IF(OR(N161="ベア加算",N161=""),0, IF(OR(U158="新加算Ⅰ",U158="新加算Ⅱ",U158="新加算Ⅲ",U158="新加算Ⅳ"),0,ROUNDDOWN(ROUND(L158*VLOOKUP(K158,【参考】数式用!$A$5:$I$27,MATCH("ベア加算",【参考】数式用!$B$4:$I$4,0)+1,0),0)*M158,0)*AG160)),"")</f>
        <v>0</v>
      </c>
      <c r="AN160" s="1356" t="str">
        <f t="shared" ref="AN160" si="150">IF(AM160=0,"",IF(AND(U160&lt;&gt;"",AN158=""),"新規に適用",IF(AND(U160&lt;&gt;"",AN158&lt;&gt;""),"継続で適用","")))</f>
        <v/>
      </c>
      <c r="AO160" s="1356" t="str">
        <f>IF(AND(U160&lt;&gt;"",AO158=""),"新規に適用",IF(AND(U160&lt;&gt;"",AO158&lt;&gt;""),"継続で適用",""))</f>
        <v/>
      </c>
      <c r="AP160" s="1358"/>
      <c r="AQ160" s="1356" t="str">
        <f>IF(AND(U160&lt;&gt;"",AQ158=""),"新規に適用",IF(AND(U160&lt;&gt;"",AQ158&lt;&gt;""),"継続で適用",""))</f>
        <v/>
      </c>
      <c r="AR160" s="1344" t="str">
        <f t="shared" si="92"/>
        <v/>
      </c>
      <c r="AS160" s="1356" t="str">
        <f>IF(AND(U160&lt;&gt;"",AS158=""),"新規に適用",IF(AND(U160&lt;&gt;"",AS158&lt;&gt;""),"継続で適用",""))</f>
        <v/>
      </c>
      <c r="AT160" s="1331"/>
      <c r="AU160" s="651"/>
      <c r="AV160" s="1493" t="str">
        <f>IF(K158&lt;&gt;"","V列に色付け","")</f>
        <v/>
      </c>
      <c r="AW160" s="1518"/>
      <c r="AX160" s="1507"/>
      <c r="AY160" s="163"/>
      <c r="AZ160" s="163"/>
      <c r="BA160" s="163"/>
      <c r="BB160" s="163"/>
      <c r="BC160" s="163"/>
      <c r="BD160" s="163"/>
      <c r="BE160" s="163"/>
      <c r="BF160" s="163"/>
      <c r="BG160" s="163"/>
      <c r="BH160" s="163"/>
      <c r="BI160" s="163"/>
      <c r="BJ160" s="163"/>
      <c r="BK160" s="163"/>
      <c r="BL160" s="543" t="str">
        <f>G158</f>
        <v/>
      </c>
    </row>
    <row r="161" spans="1:64" ht="30" customHeight="1" thickBot="1">
      <c r="A161" s="1227"/>
      <c r="B161" s="1376"/>
      <c r="C161" s="1377"/>
      <c r="D161" s="1377"/>
      <c r="E161" s="1377"/>
      <c r="F161" s="1378"/>
      <c r="G161" s="1267"/>
      <c r="H161" s="1267"/>
      <c r="I161" s="1267"/>
      <c r="J161" s="1373"/>
      <c r="K161" s="1267"/>
      <c r="L161" s="1248"/>
      <c r="M161" s="1375"/>
      <c r="N161" s="650" t="str">
        <f>IF('別紙様式2-2（４・５月分）'!Q124="","",'別紙様式2-2（４・５月分）'!Q124)</f>
        <v/>
      </c>
      <c r="O161" s="1369"/>
      <c r="P161" s="1391"/>
      <c r="Q161" s="1387"/>
      <c r="R161" s="1389"/>
      <c r="S161" s="1395"/>
      <c r="T161" s="1460"/>
      <c r="U161" s="1462"/>
      <c r="V161" s="1464"/>
      <c r="W161" s="1466"/>
      <c r="X161" s="1509"/>
      <c r="Y161" s="1408"/>
      <c r="Z161" s="1509"/>
      <c r="AA161" s="1408"/>
      <c r="AB161" s="1509"/>
      <c r="AC161" s="1408"/>
      <c r="AD161" s="1509"/>
      <c r="AE161" s="1408"/>
      <c r="AF161" s="1408"/>
      <c r="AG161" s="1408"/>
      <c r="AH161" s="1410"/>
      <c r="AI161" s="1497"/>
      <c r="AJ161" s="1511"/>
      <c r="AK161" s="1495"/>
      <c r="AL161" s="1436"/>
      <c r="AM161" s="1499"/>
      <c r="AN161" s="1357"/>
      <c r="AO161" s="1357"/>
      <c r="AP161" s="1359"/>
      <c r="AQ161" s="1357"/>
      <c r="AR161" s="1345"/>
      <c r="AS161" s="1357"/>
      <c r="AT161" s="581" t="str">
        <f t="shared" ref="AT161" si="151">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51"/>
      <c r="AV161" s="1493"/>
      <c r="AW161" s="652" t="str">
        <f>IF('別紙様式2-2（４・５月分）'!O124="","",'別紙様式2-2（４・５月分）'!O124)</f>
        <v/>
      </c>
      <c r="AX161" s="1507"/>
      <c r="AY161" s="163"/>
      <c r="AZ161" s="163"/>
      <c r="BA161" s="163"/>
      <c r="BB161" s="163"/>
      <c r="BC161" s="163"/>
      <c r="BD161" s="163"/>
      <c r="BE161" s="163"/>
      <c r="BF161" s="163"/>
      <c r="BG161" s="163"/>
      <c r="BH161" s="163"/>
      <c r="BI161" s="163"/>
      <c r="BJ161" s="163"/>
      <c r="BK161" s="163"/>
      <c r="BL161" s="543" t="str">
        <f>G158</f>
        <v/>
      </c>
    </row>
    <row r="162" spans="1:64" ht="30" customHeight="1">
      <c r="A162" s="1241">
        <v>38</v>
      </c>
      <c r="B162" s="1271" t="str">
        <f>IF(基本情報入力シート!C91="","",基本情報入力シート!C91)</f>
        <v/>
      </c>
      <c r="C162" s="1259"/>
      <c r="D162" s="1259"/>
      <c r="E162" s="1259"/>
      <c r="F162" s="1260"/>
      <c r="G162" s="1265" t="str">
        <f>IF(基本情報入力シート!M91="","",基本情報入力シート!M91)</f>
        <v/>
      </c>
      <c r="H162" s="1265" t="str">
        <f>IF(基本情報入力シート!R91="","",基本情報入力シート!R91)</f>
        <v/>
      </c>
      <c r="I162" s="1265" t="str">
        <f>IF(基本情報入力シート!W91="","",基本情報入力シート!W91)</f>
        <v/>
      </c>
      <c r="J162" s="1379" t="str">
        <f>IF(基本情報入力シート!X91="","",基本情報入力シート!X91)</f>
        <v/>
      </c>
      <c r="K162" s="1265" t="str">
        <f>IF(基本情報入力シート!Y91="","",基本情報入力シート!Y91)</f>
        <v/>
      </c>
      <c r="L162" s="1246" t="str">
        <f>IF(基本情報入力シート!AB91="","",基本情報入力シート!AB91)</f>
        <v/>
      </c>
      <c r="M162" s="1249" t="str">
        <f>IF(基本情報入力シート!AC91="","",基本情報入力シート!AC91)</f>
        <v/>
      </c>
      <c r="N162" s="647" t="str">
        <f>IF('別紙様式2-2（４・５月分）'!Q125="","",'別紙様式2-2（４・５月分）'!Q125)</f>
        <v/>
      </c>
      <c r="O162" s="1366" t="str">
        <f>IF(SUM('別紙様式2-2（４・５月分）'!R125:R127)=0,"",SUM('別紙様式2-2（４・５月分）'!R125:R127))</f>
        <v/>
      </c>
      <c r="P162" s="1380" t="str">
        <f>IFERROR(VLOOKUP('別紙様式2-2（４・５月分）'!AR125,【参考】数式用!$AT$5:$AU$22,2,FALSE),"")</f>
        <v/>
      </c>
      <c r="Q162" s="1381"/>
      <c r="R162" s="1382"/>
      <c r="S162" s="1392" t="str">
        <f>IFERROR(VLOOKUP(K162,【参考】数式用!$A$5:$AB$27,MATCH(P162,【参考】数式用!$B$4:$AB$4,0)+1,0),"")</f>
        <v/>
      </c>
      <c r="T162" s="1413" t="s">
        <v>2173</v>
      </c>
      <c r="U162" s="1415"/>
      <c r="V162" s="1457" t="str">
        <f>IFERROR(VLOOKUP(K162,【参考】数式用!$A$5:$AB$27,MATCH(U162,【参考】数式用!$B$4:$AB$4,0)+1,0),"")</f>
        <v/>
      </c>
      <c r="W162" s="1350" t="s">
        <v>19</v>
      </c>
      <c r="X162" s="1352">
        <v>6</v>
      </c>
      <c r="Y162" s="1354" t="s">
        <v>10</v>
      </c>
      <c r="Z162" s="1352">
        <v>6</v>
      </c>
      <c r="AA162" s="1354" t="s">
        <v>45</v>
      </c>
      <c r="AB162" s="1352">
        <v>7</v>
      </c>
      <c r="AC162" s="1354" t="s">
        <v>10</v>
      </c>
      <c r="AD162" s="1352">
        <v>3</v>
      </c>
      <c r="AE162" s="1354" t="s">
        <v>13</v>
      </c>
      <c r="AF162" s="1354" t="s">
        <v>24</v>
      </c>
      <c r="AG162" s="1354">
        <f>IF(X162&gt;=1,(AB162*12+AD162)-(X162*12+Z162)+1,"")</f>
        <v>10</v>
      </c>
      <c r="AH162" s="1360" t="s">
        <v>38</v>
      </c>
      <c r="AI162" s="1481" t="str">
        <f>IFERROR(ROUNDDOWN(ROUND(L162*V162,0)*M162,0)*AG162,"")</f>
        <v/>
      </c>
      <c r="AJ162" s="1483" t="str">
        <f>IFERROR(ROUNDDOWN(ROUND((L162*(V162-AX162)),0)*M162,0)*AG162,"")</f>
        <v/>
      </c>
      <c r="AK162" s="1485">
        <f>IFERROR(IF(OR(N162="",N163="",N165=""),0,ROUNDDOWN(ROUNDDOWN(ROUND(L162*VLOOKUP(K162,【参考】数式用!$A$5:$AB$27,MATCH("新加算Ⅳ",【参考】数式用!$B$4:$AB$4,0)+1,0),0)*M162,0)*AG162*0.5,0)),"")</f>
        <v>0</v>
      </c>
      <c r="AL162" s="1433"/>
      <c r="AM162" s="1487">
        <f>IFERROR(IF(OR(N165="ベア加算",N165=""),0, IF(OR(U162="新加算Ⅰ",U162="新加算Ⅱ",U162="新加算Ⅲ",U162="新加算Ⅳ"),ROUNDDOWN(ROUND(L162*VLOOKUP(K162,【参考】数式用!$A$5:$I$27,MATCH("ベア加算",【参考】数式用!$B$4:$I$4,0)+1,0),0)*M162,0)*AG162,0)),"")</f>
        <v>0</v>
      </c>
      <c r="AN162" s="1502"/>
      <c r="AO162" s="1364"/>
      <c r="AP162" s="1403"/>
      <c r="AQ162" s="1403"/>
      <c r="AR162" s="1489"/>
      <c r="AS162" s="1491"/>
      <c r="AT162" s="556" t="str">
        <f t="shared" si="134"/>
        <v/>
      </c>
      <c r="AU162" s="651"/>
      <c r="AV162" s="1493" t="str">
        <f>IF(K162&lt;&gt;"","V列に色付け","")</f>
        <v/>
      </c>
      <c r="AW162" s="652" t="str">
        <f>IF('別紙様式2-2（４・５月分）'!O125="","",'別紙様式2-2（４・５月分）'!O125)</f>
        <v/>
      </c>
      <c r="AX162" s="1507" t="str">
        <f>IF(SUM('別紙様式2-2（４・５月分）'!P125:P127)=0,"",SUM('別紙様式2-2（４・５月分）'!P125:P127))</f>
        <v/>
      </c>
      <c r="AY162" s="1506" t="str">
        <f>IFERROR(VLOOKUP(K162,【参考】数式用!$AJ$2:$AK$24,2,FALSE),"")</f>
        <v/>
      </c>
      <c r="AZ162" s="1321" t="s">
        <v>2098</v>
      </c>
      <c r="BA162" s="1321" t="s">
        <v>2099</v>
      </c>
      <c r="BB162" s="1321" t="s">
        <v>2100</v>
      </c>
      <c r="BC162" s="1321" t="s">
        <v>2101</v>
      </c>
      <c r="BD162" s="1321" t="str">
        <f>IF(AND(P162&lt;&gt;"新加算Ⅰ",P162&lt;&gt;"新加算Ⅱ",P162&lt;&gt;"新加算Ⅲ",P162&lt;&gt;"新加算Ⅳ"),P162,IF(Q164&lt;&gt;"",Q164,""))</f>
        <v/>
      </c>
      <c r="BE162" s="1321"/>
      <c r="BF162" s="1321" t="str">
        <f t="shared" ref="BF162" si="152">IF(AM162&lt;&gt;0,IF(AN162="○","入力済","未入力"),"")</f>
        <v/>
      </c>
      <c r="BG162" s="1321"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321" t="str">
        <f>IF(OR(U162="新加算Ⅴ（７）",U162="新加算Ⅴ（９）",U162="新加算Ⅴ（10）",U162="新加算Ⅴ（12）",U162="新加算Ⅴ（13）",U162="新加算Ⅴ（14）"),IF(OR(AP162="○",AP162="令和６年度中に満たす"),"入力済","未入力"),"")</f>
        <v/>
      </c>
      <c r="BI162" s="1321" t="str">
        <f>IF(OR(U162="新加算Ⅰ",U162="新加算Ⅱ",U162="新加算Ⅲ",U162="新加算Ⅴ（１）",U162="新加算Ⅴ（３）",U162="新加算Ⅴ（８）"),IF(OR(AQ162="○",AQ162="令和６年度中に満たす"),"入力済","未入力"),"")</f>
        <v/>
      </c>
      <c r="BJ162" s="1512"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493" t="str">
        <f>IF(OR(U162="新加算Ⅰ",U162="新加算Ⅴ（１）",U162="新加算Ⅴ（２）",U162="新加算Ⅴ（５）",U162="新加算Ⅴ（７）",U162="新加算Ⅴ（10）"),IF(AS162="","未入力","入力済"),"")</f>
        <v/>
      </c>
      <c r="BL162" s="543" t="str">
        <f>G162</f>
        <v/>
      </c>
    </row>
    <row r="163" spans="1:64" ht="15" customHeight="1">
      <c r="A163" s="1226"/>
      <c r="B163" s="1272"/>
      <c r="C163" s="1261"/>
      <c r="D163" s="1261"/>
      <c r="E163" s="1261"/>
      <c r="F163" s="1262"/>
      <c r="G163" s="1266"/>
      <c r="H163" s="1266"/>
      <c r="I163" s="1266"/>
      <c r="J163" s="1372"/>
      <c r="K163" s="1266"/>
      <c r="L163" s="1247"/>
      <c r="M163" s="1250"/>
      <c r="N163" s="1370" t="str">
        <f>IF('別紙様式2-2（４・５月分）'!Q126="","",'別紙様式2-2（４・５月分）'!Q126)</f>
        <v/>
      </c>
      <c r="O163" s="1367"/>
      <c r="P163" s="1383"/>
      <c r="Q163" s="1384"/>
      <c r="R163" s="1385"/>
      <c r="S163" s="1393"/>
      <c r="T163" s="1414"/>
      <c r="U163" s="1416"/>
      <c r="V163" s="1458"/>
      <c r="W163" s="1351"/>
      <c r="X163" s="1353"/>
      <c r="Y163" s="1355"/>
      <c r="Z163" s="1353"/>
      <c r="AA163" s="1355"/>
      <c r="AB163" s="1353"/>
      <c r="AC163" s="1355"/>
      <c r="AD163" s="1353"/>
      <c r="AE163" s="1355"/>
      <c r="AF163" s="1355"/>
      <c r="AG163" s="1355"/>
      <c r="AH163" s="1361"/>
      <c r="AI163" s="1482"/>
      <c r="AJ163" s="1484"/>
      <c r="AK163" s="1486"/>
      <c r="AL163" s="1434"/>
      <c r="AM163" s="1488"/>
      <c r="AN163" s="1503"/>
      <c r="AO163" s="1365"/>
      <c r="AP163" s="1404"/>
      <c r="AQ163" s="1404"/>
      <c r="AR163" s="1490"/>
      <c r="AS163" s="1492"/>
      <c r="AT163" s="1331" t="str">
        <f t="shared" si="136"/>
        <v/>
      </c>
      <c r="AU163" s="651"/>
      <c r="AV163" s="1493"/>
      <c r="AW163" s="1518" t="str">
        <f>IF('別紙様式2-2（４・５月分）'!O126="","",'別紙様式2-2（４・５月分）'!O126)</f>
        <v/>
      </c>
      <c r="AX163" s="1507"/>
      <c r="AY163" s="1506"/>
      <c r="AZ163" s="1321"/>
      <c r="BA163" s="1321"/>
      <c r="BB163" s="1321"/>
      <c r="BC163" s="1321"/>
      <c r="BD163" s="1321"/>
      <c r="BE163" s="1321"/>
      <c r="BF163" s="1321"/>
      <c r="BG163" s="1321"/>
      <c r="BH163" s="1321"/>
      <c r="BI163" s="1321"/>
      <c r="BJ163" s="1512"/>
      <c r="BK163" s="1493"/>
      <c r="BL163" s="543" t="str">
        <f>G162</f>
        <v/>
      </c>
    </row>
    <row r="164" spans="1:64" ht="15" customHeight="1">
      <c r="A164" s="1240"/>
      <c r="B164" s="1272"/>
      <c r="C164" s="1261"/>
      <c r="D164" s="1261"/>
      <c r="E164" s="1261"/>
      <c r="F164" s="1262"/>
      <c r="G164" s="1266"/>
      <c r="H164" s="1266"/>
      <c r="I164" s="1266"/>
      <c r="J164" s="1372"/>
      <c r="K164" s="1266"/>
      <c r="L164" s="1247"/>
      <c r="M164" s="1250"/>
      <c r="N164" s="1371"/>
      <c r="O164" s="1368"/>
      <c r="P164" s="1390" t="s">
        <v>2179</v>
      </c>
      <c r="Q164" s="1386" t="str">
        <f>IFERROR(VLOOKUP('別紙様式2-2（４・５月分）'!AR125,【参考】数式用!$AT$5:$AV$22,3,FALSE),"")</f>
        <v/>
      </c>
      <c r="R164" s="1388" t="s">
        <v>2190</v>
      </c>
      <c r="S164" s="1396" t="str">
        <f>IFERROR(VLOOKUP(K162,【参考】数式用!$A$5:$AB$27,MATCH(Q164,【参考】数式用!$B$4:$AB$4,0)+1,0),"")</f>
        <v/>
      </c>
      <c r="T164" s="1459" t="s">
        <v>217</v>
      </c>
      <c r="U164" s="1461"/>
      <c r="V164" s="1463" t="str">
        <f>IFERROR(VLOOKUP(K162,【参考】数式用!$A$5:$AB$27,MATCH(U164,【参考】数式用!$B$4:$AB$4,0)+1,0),"")</f>
        <v/>
      </c>
      <c r="W164" s="1465" t="s">
        <v>19</v>
      </c>
      <c r="X164" s="1508">
        <v>7</v>
      </c>
      <c r="Y164" s="1407" t="s">
        <v>10</v>
      </c>
      <c r="Z164" s="1508">
        <v>4</v>
      </c>
      <c r="AA164" s="1407" t="s">
        <v>45</v>
      </c>
      <c r="AB164" s="1508">
        <v>8</v>
      </c>
      <c r="AC164" s="1407" t="s">
        <v>10</v>
      </c>
      <c r="AD164" s="1508">
        <v>3</v>
      </c>
      <c r="AE164" s="1407" t="s">
        <v>13</v>
      </c>
      <c r="AF164" s="1407" t="s">
        <v>24</v>
      </c>
      <c r="AG164" s="1407">
        <f>IF(X164&gt;=1,(AB164*12+AD164)-(X164*12+Z164)+1,"")</f>
        <v>12</v>
      </c>
      <c r="AH164" s="1409" t="s">
        <v>38</v>
      </c>
      <c r="AI164" s="1496" t="str">
        <f>IFERROR(ROUNDDOWN(ROUND(L162*V164,0)*M162,0)*AG164,"")</f>
        <v/>
      </c>
      <c r="AJ164" s="1510" t="str">
        <f>IFERROR(ROUNDDOWN(ROUND((L162*(V164-AX162)),0)*M162,0)*AG164,"")</f>
        <v/>
      </c>
      <c r="AK164" s="1494">
        <f>IFERROR(IF(OR(N162="",N163="",N165=""),0,ROUNDDOWN(ROUNDDOWN(ROUND(L162*VLOOKUP(K162,【参考】数式用!$A$5:$AB$27,MATCH("新加算Ⅳ",【参考】数式用!$B$4:$AB$4,0)+1,0),0)*M162,0)*AG164*0.5,0)),"")</f>
        <v>0</v>
      </c>
      <c r="AL164" s="1435" t="str">
        <f t="shared" ref="AL164" si="153">IF(U164&lt;&gt;"","新規に適用","")</f>
        <v/>
      </c>
      <c r="AM164" s="1498">
        <f>IFERROR(IF(OR(N165="ベア加算",N165=""),0, IF(OR(U162="新加算Ⅰ",U162="新加算Ⅱ",U162="新加算Ⅲ",U162="新加算Ⅳ"),0,ROUNDDOWN(ROUND(L162*VLOOKUP(K162,【参考】数式用!$A$5:$I$27,MATCH("ベア加算",【参考】数式用!$B$4:$I$4,0)+1,0),0)*M162,0)*AG164)),"")</f>
        <v>0</v>
      </c>
      <c r="AN164" s="1356" t="str">
        <f t="shared" ref="AN164" si="154">IF(AM164=0,"",IF(AND(U164&lt;&gt;"",AN162=""),"新規に適用",IF(AND(U164&lt;&gt;"",AN162&lt;&gt;""),"継続で適用","")))</f>
        <v/>
      </c>
      <c r="AO164" s="1356" t="str">
        <f>IF(AND(U164&lt;&gt;"",AO162=""),"新規に適用",IF(AND(U164&lt;&gt;"",AO162&lt;&gt;""),"継続で適用",""))</f>
        <v/>
      </c>
      <c r="AP164" s="1358"/>
      <c r="AQ164" s="1356" t="str">
        <f>IF(AND(U164&lt;&gt;"",AQ162=""),"新規に適用",IF(AND(U164&lt;&gt;"",AQ162&lt;&gt;""),"継続で適用",""))</f>
        <v/>
      </c>
      <c r="AR164" s="1344" t="str">
        <f t="shared" si="92"/>
        <v/>
      </c>
      <c r="AS164" s="1356" t="str">
        <f>IF(AND(U164&lt;&gt;"",AS162=""),"新規に適用",IF(AND(U164&lt;&gt;"",AS162&lt;&gt;""),"継続で適用",""))</f>
        <v/>
      </c>
      <c r="AT164" s="1331"/>
      <c r="AU164" s="651"/>
      <c r="AV164" s="1493" t="str">
        <f>IF(K162&lt;&gt;"","V列に色付け","")</f>
        <v/>
      </c>
      <c r="AW164" s="1518"/>
      <c r="AX164" s="1507"/>
      <c r="AY164" s="163"/>
      <c r="AZ164" s="163"/>
      <c r="BA164" s="163"/>
      <c r="BB164" s="163"/>
      <c r="BC164" s="163"/>
      <c r="BD164" s="163"/>
      <c r="BE164" s="163"/>
      <c r="BF164" s="163"/>
      <c r="BG164" s="163"/>
      <c r="BH164" s="163"/>
      <c r="BI164" s="163"/>
      <c r="BJ164" s="163"/>
      <c r="BK164" s="163"/>
      <c r="BL164" s="543" t="str">
        <f>G162</f>
        <v/>
      </c>
    </row>
    <row r="165" spans="1:64" ht="30" customHeight="1" thickBot="1">
      <c r="A165" s="1227"/>
      <c r="B165" s="1376"/>
      <c r="C165" s="1377"/>
      <c r="D165" s="1377"/>
      <c r="E165" s="1377"/>
      <c r="F165" s="1378"/>
      <c r="G165" s="1267"/>
      <c r="H165" s="1267"/>
      <c r="I165" s="1267"/>
      <c r="J165" s="1373"/>
      <c r="K165" s="1267"/>
      <c r="L165" s="1248"/>
      <c r="M165" s="1251"/>
      <c r="N165" s="650" t="str">
        <f>IF('別紙様式2-2（４・５月分）'!Q127="","",'別紙様式2-2（４・５月分）'!Q127)</f>
        <v/>
      </c>
      <c r="O165" s="1369"/>
      <c r="P165" s="1391"/>
      <c r="Q165" s="1387"/>
      <c r="R165" s="1389"/>
      <c r="S165" s="1395"/>
      <c r="T165" s="1460"/>
      <c r="U165" s="1462"/>
      <c r="V165" s="1464"/>
      <c r="W165" s="1466"/>
      <c r="X165" s="1509"/>
      <c r="Y165" s="1408"/>
      <c r="Z165" s="1509"/>
      <c r="AA165" s="1408"/>
      <c r="AB165" s="1509"/>
      <c r="AC165" s="1408"/>
      <c r="AD165" s="1509"/>
      <c r="AE165" s="1408"/>
      <c r="AF165" s="1408"/>
      <c r="AG165" s="1408"/>
      <c r="AH165" s="1410"/>
      <c r="AI165" s="1497"/>
      <c r="AJ165" s="1511"/>
      <c r="AK165" s="1495"/>
      <c r="AL165" s="1436"/>
      <c r="AM165" s="1499"/>
      <c r="AN165" s="1357"/>
      <c r="AO165" s="1357"/>
      <c r="AP165" s="1359"/>
      <c r="AQ165" s="1357"/>
      <c r="AR165" s="1345"/>
      <c r="AS165" s="1357"/>
      <c r="AT165" s="581" t="str">
        <f t="shared" ref="AT165" si="155">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51"/>
      <c r="AV165" s="1493"/>
      <c r="AW165" s="652" t="str">
        <f>IF('別紙様式2-2（４・５月分）'!O127="","",'別紙様式2-2（４・５月分）'!O127)</f>
        <v/>
      </c>
      <c r="AX165" s="1507"/>
      <c r="AY165" s="163"/>
      <c r="AZ165" s="163"/>
      <c r="BA165" s="163"/>
      <c r="BB165" s="163"/>
      <c r="BC165" s="163"/>
      <c r="BD165" s="163"/>
      <c r="BE165" s="163"/>
      <c r="BF165" s="163"/>
      <c r="BG165" s="163"/>
      <c r="BH165" s="163"/>
      <c r="BI165" s="163"/>
      <c r="BJ165" s="163"/>
      <c r="BK165" s="163"/>
      <c r="BL165" s="543" t="str">
        <f>G162</f>
        <v/>
      </c>
    </row>
    <row r="166" spans="1:64" ht="30" customHeight="1">
      <c r="A166" s="1225">
        <v>39</v>
      </c>
      <c r="B166" s="1272" t="str">
        <f>IF(基本情報入力シート!C92="","",基本情報入力シート!C92)</f>
        <v/>
      </c>
      <c r="C166" s="1261"/>
      <c r="D166" s="1261"/>
      <c r="E166" s="1261"/>
      <c r="F166" s="1262"/>
      <c r="G166" s="1266" t="str">
        <f>IF(基本情報入力シート!M92="","",基本情報入力シート!M92)</f>
        <v/>
      </c>
      <c r="H166" s="1266" t="str">
        <f>IF(基本情報入力シート!R92="","",基本情報入力シート!R92)</f>
        <v/>
      </c>
      <c r="I166" s="1266" t="str">
        <f>IF(基本情報入力シート!W92="","",基本情報入力シート!W92)</f>
        <v/>
      </c>
      <c r="J166" s="1372" t="str">
        <f>IF(基本情報入力シート!X92="","",基本情報入力シート!X92)</f>
        <v/>
      </c>
      <c r="K166" s="1266" t="str">
        <f>IF(基本情報入力シート!Y92="","",基本情報入力シート!Y92)</f>
        <v/>
      </c>
      <c r="L166" s="1247" t="str">
        <f>IF(基本情報入力シート!AB92="","",基本情報入力シート!AB92)</f>
        <v/>
      </c>
      <c r="M166" s="1374" t="str">
        <f>IF(基本情報入力シート!AC92="","",基本情報入力シート!AC92)</f>
        <v/>
      </c>
      <c r="N166" s="647" t="str">
        <f>IF('別紙様式2-2（４・５月分）'!Q128="","",'別紙様式2-2（４・５月分）'!Q128)</f>
        <v/>
      </c>
      <c r="O166" s="1366" t="str">
        <f>IF(SUM('別紙様式2-2（４・５月分）'!R128:R130)=0,"",SUM('別紙様式2-2（４・５月分）'!R128:R130))</f>
        <v/>
      </c>
      <c r="P166" s="1380" t="str">
        <f>IFERROR(VLOOKUP('別紙様式2-2（４・５月分）'!AR128,【参考】数式用!$AT$5:$AU$22,2,FALSE),"")</f>
        <v/>
      </c>
      <c r="Q166" s="1381"/>
      <c r="R166" s="1382"/>
      <c r="S166" s="1392" t="str">
        <f>IFERROR(VLOOKUP(K166,【参考】数式用!$A$5:$AB$27,MATCH(P166,【参考】数式用!$B$4:$AB$4,0)+1,0),"")</f>
        <v/>
      </c>
      <c r="T166" s="1413" t="s">
        <v>2173</v>
      </c>
      <c r="U166" s="1415"/>
      <c r="V166" s="1457" t="str">
        <f>IFERROR(VLOOKUP(K166,【参考】数式用!$A$5:$AB$27,MATCH(U166,【参考】数式用!$B$4:$AB$4,0)+1,0),"")</f>
        <v/>
      </c>
      <c r="W166" s="1350" t="s">
        <v>19</v>
      </c>
      <c r="X166" s="1352">
        <v>6</v>
      </c>
      <c r="Y166" s="1354" t="s">
        <v>10</v>
      </c>
      <c r="Z166" s="1352">
        <v>6</v>
      </c>
      <c r="AA166" s="1354" t="s">
        <v>45</v>
      </c>
      <c r="AB166" s="1352">
        <v>7</v>
      </c>
      <c r="AC166" s="1354" t="s">
        <v>10</v>
      </c>
      <c r="AD166" s="1352">
        <v>3</v>
      </c>
      <c r="AE166" s="1354" t="s">
        <v>13</v>
      </c>
      <c r="AF166" s="1354" t="s">
        <v>24</v>
      </c>
      <c r="AG166" s="1354">
        <f>IF(X166&gt;=1,(AB166*12+AD166)-(X166*12+Z166)+1,"")</f>
        <v>10</v>
      </c>
      <c r="AH166" s="1360" t="s">
        <v>38</v>
      </c>
      <c r="AI166" s="1481" t="str">
        <f>IFERROR(ROUNDDOWN(ROUND(L166*V166,0)*M166,0)*AG166,"")</f>
        <v/>
      </c>
      <c r="AJ166" s="1483" t="str">
        <f>IFERROR(ROUNDDOWN(ROUND((L166*(V166-AX166)),0)*M166,0)*AG166,"")</f>
        <v/>
      </c>
      <c r="AK166" s="1485">
        <f>IFERROR(IF(OR(N166="",N167="",N169=""),0,ROUNDDOWN(ROUNDDOWN(ROUND(L166*VLOOKUP(K166,【参考】数式用!$A$5:$AB$27,MATCH("新加算Ⅳ",【参考】数式用!$B$4:$AB$4,0)+1,0),0)*M166,0)*AG166*0.5,0)),"")</f>
        <v>0</v>
      </c>
      <c r="AL166" s="1433"/>
      <c r="AM166" s="1487">
        <f>IFERROR(IF(OR(N169="ベア加算",N169=""),0, IF(OR(U166="新加算Ⅰ",U166="新加算Ⅱ",U166="新加算Ⅲ",U166="新加算Ⅳ"),ROUNDDOWN(ROUND(L166*VLOOKUP(K166,【参考】数式用!$A$5:$I$27,MATCH("ベア加算",【参考】数式用!$B$4:$I$4,0)+1,0),0)*M166,0)*AG166,0)),"")</f>
        <v>0</v>
      </c>
      <c r="AN166" s="1502"/>
      <c r="AO166" s="1364"/>
      <c r="AP166" s="1403"/>
      <c r="AQ166" s="1403"/>
      <c r="AR166" s="1489"/>
      <c r="AS166" s="1491"/>
      <c r="AT166" s="556" t="str">
        <f t="shared" si="134"/>
        <v/>
      </c>
      <c r="AU166" s="651"/>
      <c r="AV166" s="1493" t="str">
        <f>IF(K166&lt;&gt;"","V列に色付け","")</f>
        <v/>
      </c>
      <c r="AW166" s="652" t="str">
        <f>IF('別紙様式2-2（４・５月分）'!O128="","",'別紙様式2-2（４・５月分）'!O128)</f>
        <v/>
      </c>
      <c r="AX166" s="1507" t="str">
        <f>IF(SUM('別紙様式2-2（４・５月分）'!P128:P130)=0,"",SUM('別紙様式2-2（４・５月分）'!P128:P130))</f>
        <v/>
      </c>
      <c r="AY166" s="1506" t="str">
        <f>IFERROR(VLOOKUP(K166,【参考】数式用!$AJ$2:$AK$24,2,FALSE),"")</f>
        <v/>
      </c>
      <c r="AZ166" s="1321" t="s">
        <v>2098</v>
      </c>
      <c r="BA166" s="1321" t="s">
        <v>2099</v>
      </c>
      <c r="BB166" s="1321" t="s">
        <v>2100</v>
      </c>
      <c r="BC166" s="1321" t="s">
        <v>2101</v>
      </c>
      <c r="BD166" s="1321" t="str">
        <f>IF(AND(P166&lt;&gt;"新加算Ⅰ",P166&lt;&gt;"新加算Ⅱ",P166&lt;&gt;"新加算Ⅲ",P166&lt;&gt;"新加算Ⅳ"),P166,IF(Q168&lt;&gt;"",Q168,""))</f>
        <v/>
      </c>
      <c r="BE166" s="1321"/>
      <c r="BF166" s="1321" t="str">
        <f t="shared" ref="BF166" si="156">IF(AM166&lt;&gt;0,IF(AN166="○","入力済","未入力"),"")</f>
        <v/>
      </c>
      <c r="BG166" s="1321"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321" t="str">
        <f>IF(OR(U166="新加算Ⅴ（７）",U166="新加算Ⅴ（９）",U166="新加算Ⅴ（10）",U166="新加算Ⅴ（12）",U166="新加算Ⅴ（13）",U166="新加算Ⅴ（14）"),IF(OR(AP166="○",AP166="令和６年度中に満たす"),"入力済","未入力"),"")</f>
        <v/>
      </c>
      <c r="BI166" s="1321" t="str">
        <f>IF(OR(U166="新加算Ⅰ",U166="新加算Ⅱ",U166="新加算Ⅲ",U166="新加算Ⅴ（１）",U166="新加算Ⅴ（３）",U166="新加算Ⅴ（８）"),IF(OR(AQ166="○",AQ166="令和６年度中に満たす"),"入力済","未入力"),"")</f>
        <v/>
      </c>
      <c r="BJ166" s="1512"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493" t="str">
        <f>IF(OR(U166="新加算Ⅰ",U166="新加算Ⅴ（１）",U166="新加算Ⅴ（２）",U166="新加算Ⅴ（５）",U166="新加算Ⅴ（７）",U166="新加算Ⅴ（10）"),IF(AS166="","未入力","入力済"),"")</f>
        <v/>
      </c>
      <c r="BL166" s="543" t="str">
        <f>G166</f>
        <v/>
      </c>
    </row>
    <row r="167" spans="1:64" ht="15" customHeight="1">
      <c r="A167" s="1226"/>
      <c r="B167" s="1272"/>
      <c r="C167" s="1261"/>
      <c r="D167" s="1261"/>
      <c r="E167" s="1261"/>
      <c r="F167" s="1262"/>
      <c r="G167" s="1266"/>
      <c r="H167" s="1266"/>
      <c r="I167" s="1266"/>
      <c r="J167" s="1372"/>
      <c r="K167" s="1266"/>
      <c r="L167" s="1247"/>
      <c r="M167" s="1374"/>
      <c r="N167" s="1370" t="str">
        <f>IF('別紙様式2-2（４・５月分）'!Q129="","",'別紙様式2-2（４・５月分）'!Q129)</f>
        <v/>
      </c>
      <c r="O167" s="1367"/>
      <c r="P167" s="1383"/>
      <c r="Q167" s="1384"/>
      <c r="R167" s="1385"/>
      <c r="S167" s="1393"/>
      <c r="T167" s="1414"/>
      <c r="U167" s="1416"/>
      <c r="V167" s="1458"/>
      <c r="W167" s="1351"/>
      <c r="X167" s="1353"/>
      <c r="Y167" s="1355"/>
      <c r="Z167" s="1353"/>
      <c r="AA167" s="1355"/>
      <c r="AB167" s="1353"/>
      <c r="AC167" s="1355"/>
      <c r="AD167" s="1353"/>
      <c r="AE167" s="1355"/>
      <c r="AF167" s="1355"/>
      <c r="AG167" s="1355"/>
      <c r="AH167" s="1361"/>
      <c r="AI167" s="1482"/>
      <c r="AJ167" s="1484"/>
      <c r="AK167" s="1486"/>
      <c r="AL167" s="1434"/>
      <c r="AM167" s="1488"/>
      <c r="AN167" s="1503"/>
      <c r="AO167" s="1365"/>
      <c r="AP167" s="1404"/>
      <c r="AQ167" s="1404"/>
      <c r="AR167" s="1490"/>
      <c r="AS167" s="1492"/>
      <c r="AT167" s="1331" t="str">
        <f t="shared" si="136"/>
        <v/>
      </c>
      <c r="AU167" s="651"/>
      <c r="AV167" s="1493"/>
      <c r="AW167" s="1518" t="str">
        <f>IF('別紙様式2-2（４・５月分）'!O129="","",'別紙様式2-2（４・５月分）'!O129)</f>
        <v/>
      </c>
      <c r="AX167" s="1507"/>
      <c r="AY167" s="1506"/>
      <c r="AZ167" s="1321"/>
      <c r="BA167" s="1321"/>
      <c r="BB167" s="1321"/>
      <c r="BC167" s="1321"/>
      <c r="BD167" s="1321"/>
      <c r="BE167" s="1321"/>
      <c r="BF167" s="1321"/>
      <c r="BG167" s="1321"/>
      <c r="BH167" s="1321"/>
      <c r="BI167" s="1321"/>
      <c r="BJ167" s="1512"/>
      <c r="BK167" s="1493"/>
      <c r="BL167" s="543" t="str">
        <f>G166</f>
        <v/>
      </c>
    </row>
    <row r="168" spans="1:64" ht="15" customHeight="1">
      <c r="A168" s="1240"/>
      <c r="B168" s="1272"/>
      <c r="C168" s="1261"/>
      <c r="D168" s="1261"/>
      <c r="E168" s="1261"/>
      <c r="F168" s="1262"/>
      <c r="G168" s="1266"/>
      <c r="H168" s="1266"/>
      <c r="I168" s="1266"/>
      <c r="J168" s="1372"/>
      <c r="K168" s="1266"/>
      <c r="L168" s="1247"/>
      <c r="M168" s="1374"/>
      <c r="N168" s="1371"/>
      <c r="O168" s="1368"/>
      <c r="P168" s="1390" t="s">
        <v>2179</v>
      </c>
      <c r="Q168" s="1386" t="str">
        <f>IFERROR(VLOOKUP('別紙様式2-2（４・５月分）'!AR128,【参考】数式用!$AT$5:$AV$22,3,FALSE),"")</f>
        <v/>
      </c>
      <c r="R168" s="1388" t="s">
        <v>2190</v>
      </c>
      <c r="S168" s="1394" t="str">
        <f>IFERROR(VLOOKUP(K166,【参考】数式用!$A$5:$AB$27,MATCH(Q168,【参考】数式用!$B$4:$AB$4,0)+1,0),"")</f>
        <v/>
      </c>
      <c r="T168" s="1459" t="s">
        <v>217</v>
      </c>
      <c r="U168" s="1461"/>
      <c r="V168" s="1463" t="str">
        <f>IFERROR(VLOOKUP(K166,【参考】数式用!$A$5:$AB$27,MATCH(U168,【参考】数式用!$B$4:$AB$4,0)+1,0),"")</f>
        <v/>
      </c>
      <c r="W168" s="1465" t="s">
        <v>19</v>
      </c>
      <c r="X168" s="1508">
        <v>7</v>
      </c>
      <c r="Y168" s="1407" t="s">
        <v>10</v>
      </c>
      <c r="Z168" s="1508">
        <v>4</v>
      </c>
      <c r="AA168" s="1407" t="s">
        <v>45</v>
      </c>
      <c r="AB168" s="1508">
        <v>8</v>
      </c>
      <c r="AC168" s="1407" t="s">
        <v>10</v>
      </c>
      <c r="AD168" s="1508">
        <v>3</v>
      </c>
      <c r="AE168" s="1407" t="s">
        <v>13</v>
      </c>
      <c r="AF168" s="1407" t="s">
        <v>24</v>
      </c>
      <c r="AG168" s="1407">
        <f>IF(X168&gt;=1,(AB168*12+AD168)-(X168*12+Z168)+1,"")</f>
        <v>12</v>
      </c>
      <c r="AH168" s="1409" t="s">
        <v>38</v>
      </c>
      <c r="AI168" s="1496" t="str">
        <f>IFERROR(ROUNDDOWN(ROUND(L166*V168,0)*M166,0)*AG168,"")</f>
        <v/>
      </c>
      <c r="AJ168" s="1510" t="str">
        <f>IFERROR(ROUNDDOWN(ROUND((L166*(V168-AX166)),0)*M166,0)*AG168,"")</f>
        <v/>
      </c>
      <c r="AK168" s="1494">
        <f>IFERROR(IF(OR(N166="",N167="",N169=""),0,ROUNDDOWN(ROUNDDOWN(ROUND(L166*VLOOKUP(K166,【参考】数式用!$A$5:$AB$27,MATCH("新加算Ⅳ",【参考】数式用!$B$4:$AB$4,0)+1,0),0)*M166,0)*AG168*0.5,0)),"")</f>
        <v>0</v>
      </c>
      <c r="AL168" s="1435" t="str">
        <f t="shared" ref="AL168" si="157">IF(U168&lt;&gt;"","新規に適用","")</f>
        <v/>
      </c>
      <c r="AM168" s="1498">
        <f>IFERROR(IF(OR(N169="ベア加算",N169=""),0, IF(OR(U166="新加算Ⅰ",U166="新加算Ⅱ",U166="新加算Ⅲ",U166="新加算Ⅳ"),0,ROUNDDOWN(ROUND(L166*VLOOKUP(K166,【参考】数式用!$A$5:$I$27,MATCH("ベア加算",【参考】数式用!$B$4:$I$4,0)+1,0),0)*M166,0)*AG168)),"")</f>
        <v>0</v>
      </c>
      <c r="AN168" s="1356" t="str">
        <f t="shared" ref="AN168" si="158">IF(AM168=0,"",IF(AND(U168&lt;&gt;"",AN166=""),"新規に適用",IF(AND(U168&lt;&gt;"",AN166&lt;&gt;""),"継続で適用","")))</f>
        <v/>
      </c>
      <c r="AO168" s="1356" t="str">
        <f>IF(AND(U168&lt;&gt;"",AO166=""),"新規に適用",IF(AND(U168&lt;&gt;"",AO166&lt;&gt;""),"継続で適用",""))</f>
        <v/>
      </c>
      <c r="AP168" s="1358"/>
      <c r="AQ168" s="1356" t="str">
        <f>IF(AND(U168&lt;&gt;"",AQ166=""),"新規に適用",IF(AND(U168&lt;&gt;"",AQ166&lt;&gt;""),"継続で適用",""))</f>
        <v/>
      </c>
      <c r="AR168" s="1344" t="str">
        <f t="shared" ref="AR168:AR228" si="159">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56" t="str">
        <f>IF(AND(U168&lt;&gt;"",AS166=""),"新規に適用",IF(AND(U168&lt;&gt;"",AS166&lt;&gt;""),"継続で適用",""))</f>
        <v/>
      </c>
      <c r="AT168" s="1331"/>
      <c r="AU168" s="651"/>
      <c r="AV168" s="1493" t="str">
        <f>IF(K166&lt;&gt;"","V列に色付け","")</f>
        <v/>
      </c>
      <c r="AW168" s="1518"/>
      <c r="AX168" s="1507"/>
      <c r="AY168" s="163"/>
      <c r="AZ168" s="163"/>
      <c r="BA168" s="163"/>
      <c r="BB168" s="163"/>
      <c r="BC168" s="163"/>
      <c r="BD168" s="163"/>
      <c r="BE168" s="163"/>
      <c r="BF168" s="163"/>
      <c r="BG168" s="163"/>
      <c r="BH168" s="163"/>
      <c r="BI168" s="163"/>
      <c r="BJ168" s="163"/>
      <c r="BK168" s="163"/>
      <c r="BL168" s="543" t="str">
        <f>G166</f>
        <v/>
      </c>
    </row>
    <row r="169" spans="1:64" ht="30" customHeight="1" thickBot="1">
      <c r="A169" s="1227"/>
      <c r="B169" s="1376"/>
      <c r="C169" s="1377"/>
      <c r="D169" s="1377"/>
      <c r="E169" s="1377"/>
      <c r="F169" s="1378"/>
      <c r="G169" s="1267"/>
      <c r="H169" s="1267"/>
      <c r="I169" s="1267"/>
      <c r="J169" s="1373"/>
      <c r="K169" s="1267"/>
      <c r="L169" s="1248"/>
      <c r="M169" s="1375"/>
      <c r="N169" s="650" t="str">
        <f>IF('別紙様式2-2（４・５月分）'!Q130="","",'別紙様式2-2（４・５月分）'!Q130)</f>
        <v/>
      </c>
      <c r="O169" s="1369"/>
      <c r="P169" s="1391"/>
      <c r="Q169" s="1387"/>
      <c r="R169" s="1389"/>
      <c r="S169" s="1395"/>
      <c r="T169" s="1460"/>
      <c r="U169" s="1462"/>
      <c r="V169" s="1464"/>
      <c r="W169" s="1466"/>
      <c r="X169" s="1509"/>
      <c r="Y169" s="1408"/>
      <c r="Z169" s="1509"/>
      <c r="AA169" s="1408"/>
      <c r="AB169" s="1509"/>
      <c r="AC169" s="1408"/>
      <c r="AD169" s="1509"/>
      <c r="AE169" s="1408"/>
      <c r="AF169" s="1408"/>
      <c r="AG169" s="1408"/>
      <c r="AH169" s="1410"/>
      <c r="AI169" s="1497"/>
      <c r="AJ169" s="1511"/>
      <c r="AK169" s="1495"/>
      <c r="AL169" s="1436"/>
      <c r="AM169" s="1499"/>
      <c r="AN169" s="1357"/>
      <c r="AO169" s="1357"/>
      <c r="AP169" s="1359"/>
      <c r="AQ169" s="1357"/>
      <c r="AR169" s="1345"/>
      <c r="AS169" s="1357"/>
      <c r="AT169" s="581" t="str">
        <f t="shared" ref="AT169" si="160">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51"/>
      <c r="AV169" s="1493"/>
      <c r="AW169" s="652" t="str">
        <f>IF('別紙様式2-2（４・５月分）'!O130="","",'別紙様式2-2（４・５月分）'!O130)</f>
        <v/>
      </c>
      <c r="AX169" s="1507"/>
      <c r="AY169" s="163"/>
      <c r="AZ169" s="163"/>
      <c r="BA169" s="163"/>
      <c r="BB169" s="163"/>
      <c r="BC169" s="163"/>
      <c r="BD169" s="163"/>
      <c r="BE169" s="163"/>
      <c r="BF169" s="163"/>
      <c r="BG169" s="163"/>
      <c r="BH169" s="163"/>
      <c r="BI169" s="163"/>
      <c r="BJ169" s="163"/>
      <c r="BK169" s="163"/>
      <c r="BL169" s="543" t="str">
        <f>G166</f>
        <v/>
      </c>
    </row>
    <row r="170" spans="1:64" ht="30" customHeight="1">
      <c r="A170" s="1241">
        <v>40</v>
      </c>
      <c r="B170" s="1272" t="str">
        <f>IF(基本情報入力シート!C93="","",基本情報入力シート!C93)</f>
        <v/>
      </c>
      <c r="C170" s="1261"/>
      <c r="D170" s="1261"/>
      <c r="E170" s="1261"/>
      <c r="F170" s="1262"/>
      <c r="G170" s="1266" t="str">
        <f>IF(基本情報入力シート!M93="","",基本情報入力シート!M93)</f>
        <v/>
      </c>
      <c r="H170" s="1266" t="str">
        <f>IF(基本情報入力シート!R93="","",基本情報入力シート!R93)</f>
        <v/>
      </c>
      <c r="I170" s="1266" t="str">
        <f>IF(基本情報入力シート!W93="","",基本情報入力シート!W93)</f>
        <v/>
      </c>
      <c r="J170" s="1372" t="str">
        <f>IF(基本情報入力シート!X93="","",基本情報入力シート!X93)</f>
        <v/>
      </c>
      <c r="K170" s="1266" t="str">
        <f>IF(基本情報入力シート!Y93="","",基本情報入力シート!Y93)</f>
        <v/>
      </c>
      <c r="L170" s="1247" t="str">
        <f>IF(基本情報入力シート!AB93="","",基本情報入力シート!AB93)</f>
        <v/>
      </c>
      <c r="M170" s="1374" t="str">
        <f>IF(基本情報入力シート!AC93="","",基本情報入力シート!AC93)</f>
        <v/>
      </c>
      <c r="N170" s="647" t="str">
        <f>IF('別紙様式2-2（４・５月分）'!Q131="","",'別紙様式2-2（４・５月分）'!Q131)</f>
        <v/>
      </c>
      <c r="O170" s="1366" t="str">
        <f>IF(SUM('別紙様式2-2（４・５月分）'!R131:R133)=0,"",SUM('別紙様式2-2（４・５月分）'!R131:R133))</f>
        <v/>
      </c>
      <c r="P170" s="1380" t="str">
        <f>IFERROR(VLOOKUP('別紙様式2-2（４・５月分）'!AR131,【参考】数式用!$AT$5:$AU$22,2,FALSE),"")</f>
        <v/>
      </c>
      <c r="Q170" s="1381"/>
      <c r="R170" s="1382"/>
      <c r="S170" s="1392" t="str">
        <f>IFERROR(VLOOKUP(K170,【参考】数式用!$A$5:$AB$27,MATCH(P170,【参考】数式用!$B$4:$AB$4,0)+1,0),"")</f>
        <v/>
      </c>
      <c r="T170" s="1413" t="s">
        <v>2173</v>
      </c>
      <c r="U170" s="1415"/>
      <c r="V170" s="1457" t="str">
        <f>IFERROR(VLOOKUP(K170,【参考】数式用!$A$5:$AB$27,MATCH(U170,【参考】数式用!$B$4:$AB$4,0)+1,0),"")</f>
        <v/>
      </c>
      <c r="W170" s="1350" t="s">
        <v>19</v>
      </c>
      <c r="X170" s="1352">
        <v>6</v>
      </c>
      <c r="Y170" s="1354" t="s">
        <v>10</v>
      </c>
      <c r="Z170" s="1352">
        <v>6</v>
      </c>
      <c r="AA170" s="1354" t="s">
        <v>45</v>
      </c>
      <c r="AB170" s="1352">
        <v>7</v>
      </c>
      <c r="AC170" s="1354" t="s">
        <v>10</v>
      </c>
      <c r="AD170" s="1352">
        <v>3</v>
      </c>
      <c r="AE170" s="1354" t="s">
        <v>13</v>
      </c>
      <c r="AF170" s="1354" t="s">
        <v>24</v>
      </c>
      <c r="AG170" s="1354">
        <f>IF(X170&gt;=1,(AB170*12+AD170)-(X170*12+Z170)+1,"")</f>
        <v>10</v>
      </c>
      <c r="AH170" s="1360" t="s">
        <v>38</v>
      </c>
      <c r="AI170" s="1481" t="str">
        <f>IFERROR(ROUNDDOWN(ROUND(L170*V170,0)*M170,0)*AG170,"")</f>
        <v/>
      </c>
      <c r="AJ170" s="1483" t="str">
        <f>IFERROR(ROUNDDOWN(ROUND((L170*(V170-AX170)),0)*M170,0)*AG170,"")</f>
        <v/>
      </c>
      <c r="AK170" s="1485">
        <f>IFERROR(IF(OR(N170="",N171="",N173=""),0,ROUNDDOWN(ROUNDDOWN(ROUND(L170*VLOOKUP(K170,【参考】数式用!$A$5:$AB$27,MATCH("新加算Ⅳ",【参考】数式用!$B$4:$AB$4,0)+1,0),0)*M170,0)*AG170*0.5,0)),"")</f>
        <v>0</v>
      </c>
      <c r="AL170" s="1433"/>
      <c r="AM170" s="1487">
        <f>IFERROR(IF(OR(N173="ベア加算",N173=""),0, IF(OR(U170="新加算Ⅰ",U170="新加算Ⅱ",U170="新加算Ⅲ",U170="新加算Ⅳ"),ROUNDDOWN(ROUND(L170*VLOOKUP(K170,【参考】数式用!$A$5:$I$27,MATCH("ベア加算",【参考】数式用!$B$4:$I$4,0)+1,0),0)*M170,0)*AG170,0)),"")</f>
        <v>0</v>
      </c>
      <c r="AN170" s="1502"/>
      <c r="AO170" s="1364"/>
      <c r="AP170" s="1403"/>
      <c r="AQ170" s="1403"/>
      <c r="AR170" s="1489"/>
      <c r="AS170" s="1491"/>
      <c r="AT170" s="556" t="str">
        <f t="shared" si="134"/>
        <v/>
      </c>
      <c r="AU170" s="651"/>
      <c r="AV170" s="1493" t="str">
        <f>IF(K170&lt;&gt;"","V列に色付け","")</f>
        <v/>
      </c>
      <c r="AW170" s="652" t="str">
        <f>IF('別紙様式2-2（４・５月分）'!O131="","",'別紙様式2-2（４・５月分）'!O131)</f>
        <v/>
      </c>
      <c r="AX170" s="1507" t="str">
        <f>IF(SUM('別紙様式2-2（４・５月分）'!P131:P133)=0,"",SUM('別紙様式2-2（４・５月分）'!P131:P133))</f>
        <v/>
      </c>
      <c r="AY170" s="1506" t="str">
        <f>IFERROR(VLOOKUP(K170,【参考】数式用!$AJ$2:$AK$24,2,FALSE),"")</f>
        <v/>
      </c>
      <c r="AZ170" s="1321" t="s">
        <v>2098</v>
      </c>
      <c r="BA170" s="1321" t="s">
        <v>2099</v>
      </c>
      <c r="BB170" s="1321" t="s">
        <v>2100</v>
      </c>
      <c r="BC170" s="1321" t="s">
        <v>2101</v>
      </c>
      <c r="BD170" s="1321" t="str">
        <f>IF(AND(P170&lt;&gt;"新加算Ⅰ",P170&lt;&gt;"新加算Ⅱ",P170&lt;&gt;"新加算Ⅲ",P170&lt;&gt;"新加算Ⅳ"),P170,IF(Q172&lt;&gt;"",Q172,""))</f>
        <v/>
      </c>
      <c r="BE170" s="1321"/>
      <c r="BF170" s="1321" t="str">
        <f t="shared" ref="BF170" si="161">IF(AM170&lt;&gt;0,IF(AN170="○","入力済","未入力"),"")</f>
        <v/>
      </c>
      <c r="BG170" s="1321"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321" t="str">
        <f>IF(OR(U170="新加算Ⅴ（７）",U170="新加算Ⅴ（９）",U170="新加算Ⅴ（10）",U170="新加算Ⅴ（12）",U170="新加算Ⅴ（13）",U170="新加算Ⅴ（14）"),IF(OR(AP170="○",AP170="令和６年度中に満たす"),"入力済","未入力"),"")</f>
        <v/>
      </c>
      <c r="BI170" s="1321" t="str">
        <f>IF(OR(U170="新加算Ⅰ",U170="新加算Ⅱ",U170="新加算Ⅲ",U170="新加算Ⅴ（１）",U170="新加算Ⅴ（３）",U170="新加算Ⅴ（８）"),IF(OR(AQ170="○",AQ170="令和６年度中に満たす"),"入力済","未入力"),"")</f>
        <v/>
      </c>
      <c r="BJ170" s="1512"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493" t="str">
        <f>IF(OR(U170="新加算Ⅰ",U170="新加算Ⅴ（１）",U170="新加算Ⅴ（２）",U170="新加算Ⅴ（５）",U170="新加算Ⅴ（７）",U170="新加算Ⅴ（10）"),IF(AS170="","未入力","入力済"),"")</f>
        <v/>
      </c>
      <c r="BL170" s="543" t="str">
        <f>G170</f>
        <v/>
      </c>
    </row>
    <row r="171" spans="1:64" ht="15" customHeight="1">
      <c r="A171" s="1226"/>
      <c r="B171" s="1272"/>
      <c r="C171" s="1261"/>
      <c r="D171" s="1261"/>
      <c r="E171" s="1261"/>
      <c r="F171" s="1262"/>
      <c r="G171" s="1266"/>
      <c r="H171" s="1266"/>
      <c r="I171" s="1266"/>
      <c r="J171" s="1372"/>
      <c r="K171" s="1266"/>
      <c r="L171" s="1247"/>
      <c r="M171" s="1374"/>
      <c r="N171" s="1370" t="str">
        <f>IF('別紙様式2-2（４・５月分）'!Q132="","",'別紙様式2-2（４・５月分）'!Q132)</f>
        <v/>
      </c>
      <c r="O171" s="1367"/>
      <c r="P171" s="1383"/>
      <c r="Q171" s="1384"/>
      <c r="R171" s="1385"/>
      <c r="S171" s="1393"/>
      <c r="T171" s="1414"/>
      <c r="U171" s="1416"/>
      <c r="V171" s="1458"/>
      <c r="W171" s="1351"/>
      <c r="X171" s="1353"/>
      <c r="Y171" s="1355"/>
      <c r="Z171" s="1353"/>
      <c r="AA171" s="1355"/>
      <c r="AB171" s="1353"/>
      <c r="AC171" s="1355"/>
      <c r="AD171" s="1353"/>
      <c r="AE171" s="1355"/>
      <c r="AF171" s="1355"/>
      <c r="AG171" s="1355"/>
      <c r="AH171" s="1361"/>
      <c r="AI171" s="1482"/>
      <c r="AJ171" s="1484"/>
      <c r="AK171" s="1486"/>
      <c r="AL171" s="1434"/>
      <c r="AM171" s="1488"/>
      <c r="AN171" s="1503"/>
      <c r="AO171" s="1365"/>
      <c r="AP171" s="1404"/>
      <c r="AQ171" s="1404"/>
      <c r="AR171" s="1490"/>
      <c r="AS171" s="1492"/>
      <c r="AT171" s="1331" t="str">
        <f t="shared" si="136"/>
        <v/>
      </c>
      <c r="AU171" s="651"/>
      <c r="AV171" s="1493"/>
      <c r="AW171" s="1518" t="str">
        <f>IF('別紙様式2-2（４・５月分）'!O132="","",'別紙様式2-2（４・５月分）'!O132)</f>
        <v/>
      </c>
      <c r="AX171" s="1507"/>
      <c r="AY171" s="1506"/>
      <c r="AZ171" s="1321"/>
      <c r="BA171" s="1321"/>
      <c r="BB171" s="1321"/>
      <c r="BC171" s="1321"/>
      <c r="BD171" s="1321"/>
      <c r="BE171" s="1321"/>
      <c r="BF171" s="1321"/>
      <c r="BG171" s="1321"/>
      <c r="BH171" s="1321"/>
      <c r="BI171" s="1321"/>
      <c r="BJ171" s="1512"/>
      <c r="BK171" s="1493"/>
      <c r="BL171" s="543" t="str">
        <f>G170</f>
        <v/>
      </c>
    </row>
    <row r="172" spans="1:64" ht="15" customHeight="1">
      <c r="A172" s="1240"/>
      <c r="B172" s="1272"/>
      <c r="C172" s="1261"/>
      <c r="D172" s="1261"/>
      <c r="E172" s="1261"/>
      <c r="F172" s="1262"/>
      <c r="G172" s="1266"/>
      <c r="H172" s="1266"/>
      <c r="I172" s="1266"/>
      <c r="J172" s="1372"/>
      <c r="K172" s="1266"/>
      <c r="L172" s="1247"/>
      <c r="M172" s="1374"/>
      <c r="N172" s="1371"/>
      <c r="O172" s="1368"/>
      <c r="P172" s="1390" t="s">
        <v>2179</v>
      </c>
      <c r="Q172" s="1386" t="str">
        <f>IFERROR(VLOOKUP('別紙様式2-2（４・５月分）'!AR131,【参考】数式用!$AT$5:$AV$22,3,FALSE),"")</f>
        <v/>
      </c>
      <c r="R172" s="1388" t="s">
        <v>2190</v>
      </c>
      <c r="S172" s="1394" t="str">
        <f>IFERROR(VLOOKUP(K170,【参考】数式用!$A$5:$AB$27,MATCH(Q172,【参考】数式用!$B$4:$AB$4,0)+1,0),"")</f>
        <v/>
      </c>
      <c r="T172" s="1459" t="s">
        <v>217</v>
      </c>
      <c r="U172" s="1461"/>
      <c r="V172" s="1463" t="str">
        <f>IFERROR(VLOOKUP(K170,【参考】数式用!$A$5:$AB$27,MATCH(U172,【参考】数式用!$B$4:$AB$4,0)+1,0),"")</f>
        <v/>
      </c>
      <c r="W172" s="1465" t="s">
        <v>19</v>
      </c>
      <c r="X172" s="1508">
        <v>7</v>
      </c>
      <c r="Y172" s="1407" t="s">
        <v>10</v>
      </c>
      <c r="Z172" s="1508">
        <v>4</v>
      </c>
      <c r="AA172" s="1407" t="s">
        <v>45</v>
      </c>
      <c r="AB172" s="1508">
        <v>8</v>
      </c>
      <c r="AC172" s="1407" t="s">
        <v>10</v>
      </c>
      <c r="AD172" s="1508">
        <v>3</v>
      </c>
      <c r="AE172" s="1407" t="s">
        <v>13</v>
      </c>
      <c r="AF172" s="1407" t="s">
        <v>24</v>
      </c>
      <c r="AG172" s="1407">
        <f>IF(X172&gt;=1,(AB172*12+AD172)-(X172*12+Z172)+1,"")</f>
        <v>12</v>
      </c>
      <c r="AH172" s="1409" t="s">
        <v>38</v>
      </c>
      <c r="AI172" s="1496" t="str">
        <f>IFERROR(ROUNDDOWN(ROUND(L170*V172,0)*M170,0)*AG172,"")</f>
        <v/>
      </c>
      <c r="AJ172" s="1510" t="str">
        <f>IFERROR(ROUNDDOWN(ROUND((L170*(V172-AX170)),0)*M170,0)*AG172,"")</f>
        <v/>
      </c>
      <c r="AK172" s="1494">
        <f>IFERROR(IF(OR(N170="",N171="",N173=""),0,ROUNDDOWN(ROUNDDOWN(ROUND(L170*VLOOKUP(K170,【参考】数式用!$A$5:$AB$27,MATCH("新加算Ⅳ",【参考】数式用!$B$4:$AB$4,0)+1,0),0)*M170,0)*AG172*0.5,0)),"")</f>
        <v>0</v>
      </c>
      <c r="AL172" s="1435" t="str">
        <f t="shared" ref="AL172" si="162">IF(U172&lt;&gt;"","新規に適用","")</f>
        <v/>
      </c>
      <c r="AM172" s="1498">
        <f>IFERROR(IF(OR(N173="ベア加算",N173=""),0, IF(OR(U170="新加算Ⅰ",U170="新加算Ⅱ",U170="新加算Ⅲ",U170="新加算Ⅳ"),0,ROUNDDOWN(ROUND(L170*VLOOKUP(K170,【参考】数式用!$A$5:$I$27,MATCH("ベア加算",【参考】数式用!$B$4:$I$4,0)+1,0),0)*M170,0)*AG172)),"")</f>
        <v>0</v>
      </c>
      <c r="AN172" s="1356" t="str">
        <f t="shared" ref="AN172" si="163">IF(AM172=0,"",IF(AND(U172&lt;&gt;"",AN170=""),"新規に適用",IF(AND(U172&lt;&gt;"",AN170&lt;&gt;""),"継続で適用","")))</f>
        <v/>
      </c>
      <c r="AO172" s="1356" t="str">
        <f>IF(AND(U172&lt;&gt;"",AO170=""),"新規に適用",IF(AND(U172&lt;&gt;"",AO170&lt;&gt;""),"継続で適用",""))</f>
        <v/>
      </c>
      <c r="AP172" s="1358"/>
      <c r="AQ172" s="1356" t="str">
        <f>IF(AND(U172&lt;&gt;"",AQ170=""),"新規に適用",IF(AND(U172&lt;&gt;"",AQ170&lt;&gt;""),"継続で適用",""))</f>
        <v/>
      </c>
      <c r="AR172" s="1344" t="str">
        <f t="shared" si="159"/>
        <v/>
      </c>
      <c r="AS172" s="1356" t="str">
        <f>IF(AND(U172&lt;&gt;"",AS170=""),"新規に適用",IF(AND(U172&lt;&gt;"",AS170&lt;&gt;""),"継続で適用",""))</f>
        <v/>
      </c>
      <c r="AT172" s="1331"/>
      <c r="AU172" s="651"/>
      <c r="AV172" s="1493" t="str">
        <f>IF(K170&lt;&gt;"","V列に色付け","")</f>
        <v/>
      </c>
      <c r="AW172" s="1518"/>
      <c r="AX172" s="1507"/>
      <c r="AY172" s="163"/>
      <c r="AZ172" s="163"/>
      <c r="BA172" s="163"/>
      <c r="BB172" s="163"/>
      <c r="BC172" s="163"/>
      <c r="BD172" s="163"/>
      <c r="BE172" s="163"/>
      <c r="BF172" s="163"/>
      <c r="BG172" s="163"/>
      <c r="BH172" s="163"/>
      <c r="BI172" s="163"/>
      <c r="BJ172" s="163"/>
      <c r="BK172" s="163"/>
      <c r="BL172" s="543" t="str">
        <f>G170</f>
        <v/>
      </c>
    </row>
    <row r="173" spans="1:64" ht="30" customHeight="1" thickBot="1">
      <c r="A173" s="1227"/>
      <c r="B173" s="1376"/>
      <c r="C173" s="1377"/>
      <c r="D173" s="1377"/>
      <c r="E173" s="1377"/>
      <c r="F173" s="1378"/>
      <c r="G173" s="1267"/>
      <c r="H173" s="1267"/>
      <c r="I173" s="1267"/>
      <c r="J173" s="1373"/>
      <c r="K173" s="1267"/>
      <c r="L173" s="1248"/>
      <c r="M173" s="1375"/>
      <c r="N173" s="650" t="str">
        <f>IF('別紙様式2-2（４・５月分）'!Q133="","",'別紙様式2-2（４・５月分）'!Q133)</f>
        <v/>
      </c>
      <c r="O173" s="1369"/>
      <c r="P173" s="1391"/>
      <c r="Q173" s="1387"/>
      <c r="R173" s="1389"/>
      <c r="S173" s="1395"/>
      <c r="T173" s="1460"/>
      <c r="U173" s="1462"/>
      <c r="V173" s="1464"/>
      <c r="W173" s="1466"/>
      <c r="X173" s="1509"/>
      <c r="Y173" s="1408"/>
      <c r="Z173" s="1509"/>
      <c r="AA173" s="1408"/>
      <c r="AB173" s="1509"/>
      <c r="AC173" s="1408"/>
      <c r="AD173" s="1509"/>
      <c r="AE173" s="1408"/>
      <c r="AF173" s="1408"/>
      <c r="AG173" s="1408"/>
      <c r="AH173" s="1410"/>
      <c r="AI173" s="1497"/>
      <c r="AJ173" s="1511"/>
      <c r="AK173" s="1495"/>
      <c r="AL173" s="1436"/>
      <c r="AM173" s="1499"/>
      <c r="AN173" s="1357"/>
      <c r="AO173" s="1357"/>
      <c r="AP173" s="1359"/>
      <c r="AQ173" s="1357"/>
      <c r="AR173" s="1345"/>
      <c r="AS173" s="1357"/>
      <c r="AT173" s="581" t="str">
        <f t="shared" ref="AT173" si="164">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51"/>
      <c r="AV173" s="1493"/>
      <c r="AW173" s="652" t="str">
        <f>IF('別紙様式2-2（４・５月分）'!O133="","",'別紙様式2-2（４・５月分）'!O133)</f>
        <v/>
      </c>
      <c r="AX173" s="1507"/>
      <c r="AY173" s="163"/>
      <c r="AZ173" s="163"/>
      <c r="BA173" s="163"/>
      <c r="BB173" s="163"/>
      <c r="BC173" s="163"/>
      <c r="BD173" s="163"/>
      <c r="BE173" s="163"/>
      <c r="BF173" s="163"/>
      <c r="BG173" s="163"/>
      <c r="BH173" s="163"/>
      <c r="BI173" s="163"/>
      <c r="BJ173" s="163"/>
      <c r="BK173" s="163"/>
      <c r="BL173" s="543" t="str">
        <f>G170</f>
        <v/>
      </c>
    </row>
    <row r="174" spans="1:64" ht="30" customHeight="1">
      <c r="A174" s="1225">
        <v>41</v>
      </c>
      <c r="B174" s="1271" t="str">
        <f>IF(基本情報入力シート!C94="","",基本情報入力シート!C94)</f>
        <v/>
      </c>
      <c r="C174" s="1259"/>
      <c r="D174" s="1259"/>
      <c r="E174" s="1259"/>
      <c r="F174" s="1260"/>
      <c r="G174" s="1265" t="str">
        <f>IF(基本情報入力シート!M94="","",基本情報入力シート!M94)</f>
        <v/>
      </c>
      <c r="H174" s="1265" t="str">
        <f>IF(基本情報入力シート!R94="","",基本情報入力シート!R94)</f>
        <v/>
      </c>
      <c r="I174" s="1265" t="str">
        <f>IF(基本情報入力シート!W94="","",基本情報入力シート!W94)</f>
        <v/>
      </c>
      <c r="J174" s="1379" t="str">
        <f>IF(基本情報入力シート!X94="","",基本情報入力シート!X94)</f>
        <v/>
      </c>
      <c r="K174" s="1265" t="str">
        <f>IF(基本情報入力シート!Y94="","",基本情報入力シート!Y94)</f>
        <v/>
      </c>
      <c r="L174" s="1246" t="str">
        <f>IF(基本情報入力シート!AB94="","",基本情報入力シート!AB94)</f>
        <v/>
      </c>
      <c r="M174" s="1249" t="str">
        <f>IF(基本情報入力シート!AC94="","",基本情報入力シート!AC94)</f>
        <v/>
      </c>
      <c r="N174" s="647" t="str">
        <f>IF('別紙様式2-2（４・５月分）'!Q134="","",'別紙様式2-2（４・５月分）'!Q134)</f>
        <v/>
      </c>
      <c r="O174" s="1366" t="str">
        <f>IF(SUM('別紙様式2-2（４・５月分）'!R134:R136)=0,"",SUM('別紙様式2-2（４・５月分）'!R134:R136))</f>
        <v/>
      </c>
      <c r="P174" s="1380" t="str">
        <f>IFERROR(VLOOKUP('別紙様式2-2（４・５月分）'!AR134,【参考】数式用!$AT$5:$AU$22,2,FALSE),"")</f>
        <v/>
      </c>
      <c r="Q174" s="1381"/>
      <c r="R174" s="1382"/>
      <c r="S174" s="1392" t="str">
        <f>IFERROR(VLOOKUP(K174,【参考】数式用!$A$5:$AB$27,MATCH(P174,【参考】数式用!$B$4:$AB$4,0)+1,0),"")</f>
        <v/>
      </c>
      <c r="T174" s="1413" t="s">
        <v>2173</v>
      </c>
      <c r="U174" s="1415"/>
      <c r="V174" s="1457" t="str">
        <f>IFERROR(VLOOKUP(K174,【参考】数式用!$A$5:$AB$27,MATCH(U174,【参考】数式用!$B$4:$AB$4,0)+1,0),"")</f>
        <v/>
      </c>
      <c r="W174" s="1350" t="s">
        <v>19</v>
      </c>
      <c r="X174" s="1352">
        <v>6</v>
      </c>
      <c r="Y174" s="1354" t="s">
        <v>10</v>
      </c>
      <c r="Z174" s="1352">
        <v>6</v>
      </c>
      <c r="AA174" s="1354" t="s">
        <v>45</v>
      </c>
      <c r="AB174" s="1352">
        <v>7</v>
      </c>
      <c r="AC174" s="1354" t="s">
        <v>10</v>
      </c>
      <c r="AD174" s="1352">
        <v>3</v>
      </c>
      <c r="AE174" s="1354" t="s">
        <v>13</v>
      </c>
      <c r="AF174" s="1354" t="s">
        <v>24</v>
      </c>
      <c r="AG174" s="1354">
        <f>IF(X174&gt;=1,(AB174*12+AD174)-(X174*12+Z174)+1,"")</f>
        <v>10</v>
      </c>
      <c r="AH174" s="1360" t="s">
        <v>38</v>
      </c>
      <c r="AI174" s="1481" t="str">
        <f>IFERROR(ROUNDDOWN(ROUND(L174*V174,0)*M174,0)*AG174,"")</f>
        <v/>
      </c>
      <c r="AJ174" s="1483" t="str">
        <f>IFERROR(ROUNDDOWN(ROUND((L174*(V174-AX174)),0)*M174,0)*AG174,"")</f>
        <v/>
      </c>
      <c r="AK174" s="1485">
        <f>IFERROR(IF(OR(N174="",N175="",N177=""),0,ROUNDDOWN(ROUNDDOWN(ROUND(L174*VLOOKUP(K174,【参考】数式用!$A$5:$AB$27,MATCH("新加算Ⅳ",【参考】数式用!$B$4:$AB$4,0)+1,0),0)*M174,0)*AG174*0.5,0)),"")</f>
        <v>0</v>
      </c>
      <c r="AL174" s="1433"/>
      <c r="AM174" s="1487">
        <f>IFERROR(IF(OR(N177="ベア加算",N177=""),0, IF(OR(U174="新加算Ⅰ",U174="新加算Ⅱ",U174="新加算Ⅲ",U174="新加算Ⅳ"),ROUNDDOWN(ROUND(L174*VLOOKUP(K174,【参考】数式用!$A$5:$I$27,MATCH("ベア加算",【参考】数式用!$B$4:$I$4,0)+1,0),0)*M174,0)*AG174,0)),"")</f>
        <v>0</v>
      </c>
      <c r="AN174" s="1502"/>
      <c r="AO174" s="1364"/>
      <c r="AP174" s="1403"/>
      <c r="AQ174" s="1403"/>
      <c r="AR174" s="1489"/>
      <c r="AS174" s="1491"/>
      <c r="AT174" s="556" t="str">
        <f t="shared" si="134"/>
        <v/>
      </c>
      <c r="AU174" s="651"/>
      <c r="AV174" s="1493" t="str">
        <f>IF(K174&lt;&gt;"","V列に色付け","")</f>
        <v/>
      </c>
      <c r="AW174" s="652" t="str">
        <f>IF('別紙様式2-2（４・５月分）'!O134="","",'別紙様式2-2（４・５月分）'!O134)</f>
        <v/>
      </c>
      <c r="AX174" s="1507" t="str">
        <f>IF(SUM('別紙様式2-2（４・５月分）'!P134:P136)=0,"",SUM('別紙様式2-2（４・５月分）'!P134:P136))</f>
        <v/>
      </c>
      <c r="AY174" s="1506" t="str">
        <f>IFERROR(VLOOKUP(K174,【参考】数式用!$AJ$2:$AK$24,2,FALSE),"")</f>
        <v/>
      </c>
      <c r="AZ174" s="1321" t="s">
        <v>2098</v>
      </c>
      <c r="BA174" s="1321" t="s">
        <v>2099</v>
      </c>
      <c r="BB174" s="1321" t="s">
        <v>2100</v>
      </c>
      <c r="BC174" s="1321" t="s">
        <v>2101</v>
      </c>
      <c r="BD174" s="1321" t="str">
        <f>IF(AND(P174&lt;&gt;"新加算Ⅰ",P174&lt;&gt;"新加算Ⅱ",P174&lt;&gt;"新加算Ⅲ",P174&lt;&gt;"新加算Ⅳ"),P174,IF(Q176&lt;&gt;"",Q176,""))</f>
        <v/>
      </c>
      <c r="BE174" s="1321"/>
      <c r="BF174" s="1321" t="str">
        <f t="shared" ref="BF174" si="165">IF(AM174&lt;&gt;0,IF(AN174="○","入力済","未入力"),"")</f>
        <v/>
      </c>
      <c r="BG174" s="1321"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321" t="str">
        <f>IF(OR(U174="新加算Ⅴ（７）",U174="新加算Ⅴ（９）",U174="新加算Ⅴ（10）",U174="新加算Ⅴ（12）",U174="新加算Ⅴ（13）",U174="新加算Ⅴ（14）"),IF(OR(AP174="○",AP174="令和６年度中に満たす"),"入力済","未入力"),"")</f>
        <v/>
      </c>
      <c r="BI174" s="1321" t="str">
        <f>IF(OR(U174="新加算Ⅰ",U174="新加算Ⅱ",U174="新加算Ⅲ",U174="新加算Ⅴ（１）",U174="新加算Ⅴ（３）",U174="新加算Ⅴ（８）"),IF(OR(AQ174="○",AQ174="令和６年度中に満たす"),"入力済","未入力"),"")</f>
        <v/>
      </c>
      <c r="BJ174" s="1512"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493" t="str">
        <f>IF(OR(U174="新加算Ⅰ",U174="新加算Ⅴ（１）",U174="新加算Ⅴ（２）",U174="新加算Ⅴ（５）",U174="新加算Ⅴ（７）",U174="新加算Ⅴ（10）"),IF(AS174="","未入力","入力済"),"")</f>
        <v/>
      </c>
      <c r="BL174" s="543" t="str">
        <f>G174</f>
        <v/>
      </c>
    </row>
    <row r="175" spans="1:64" ht="15" customHeight="1">
      <c r="A175" s="1226"/>
      <c r="B175" s="1272"/>
      <c r="C175" s="1261"/>
      <c r="D175" s="1261"/>
      <c r="E175" s="1261"/>
      <c r="F175" s="1262"/>
      <c r="G175" s="1266"/>
      <c r="H175" s="1266"/>
      <c r="I175" s="1266"/>
      <c r="J175" s="1372"/>
      <c r="K175" s="1266"/>
      <c r="L175" s="1247"/>
      <c r="M175" s="1250"/>
      <c r="N175" s="1370" t="str">
        <f>IF('別紙様式2-2（４・５月分）'!Q135="","",'別紙様式2-2（４・５月分）'!Q135)</f>
        <v/>
      </c>
      <c r="O175" s="1367"/>
      <c r="P175" s="1383"/>
      <c r="Q175" s="1384"/>
      <c r="R175" s="1385"/>
      <c r="S175" s="1393"/>
      <c r="T175" s="1414"/>
      <c r="U175" s="1416"/>
      <c r="V175" s="1458"/>
      <c r="W175" s="1351"/>
      <c r="X175" s="1353"/>
      <c r="Y175" s="1355"/>
      <c r="Z175" s="1353"/>
      <c r="AA175" s="1355"/>
      <c r="AB175" s="1353"/>
      <c r="AC175" s="1355"/>
      <c r="AD175" s="1353"/>
      <c r="AE175" s="1355"/>
      <c r="AF175" s="1355"/>
      <c r="AG175" s="1355"/>
      <c r="AH175" s="1361"/>
      <c r="AI175" s="1482"/>
      <c r="AJ175" s="1484"/>
      <c r="AK175" s="1486"/>
      <c r="AL175" s="1434"/>
      <c r="AM175" s="1488"/>
      <c r="AN175" s="1503"/>
      <c r="AO175" s="1365"/>
      <c r="AP175" s="1404"/>
      <c r="AQ175" s="1404"/>
      <c r="AR175" s="1490"/>
      <c r="AS175" s="1492"/>
      <c r="AT175" s="1331" t="str">
        <f t="shared" si="136"/>
        <v/>
      </c>
      <c r="AU175" s="651"/>
      <c r="AV175" s="1493"/>
      <c r="AW175" s="1518" t="str">
        <f>IF('別紙様式2-2（４・５月分）'!O135="","",'別紙様式2-2（４・５月分）'!O135)</f>
        <v/>
      </c>
      <c r="AX175" s="1507"/>
      <c r="AY175" s="1506"/>
      <c r="AZ175" s="1321"/>
      <c r="BA175" s="1321"/>
      <c r="BB175" s="1321"/>
      <c r="BC175" s="1321"/>
      <c r="BD175" s="1321"/>
      <c r="BE175" s="1321"/>
      <c r="BF175" s="1321"/>
      <c r="BG175" s="1321"/>
      <c r="BH175" s="1321"/>
      <c r="BI175" s="1321"/>
      <c r="BJ175" s="1512"/>
      <c r="BK175" s="1493"/>
      <c r="BL175" s="543" t="str">
        <f>G174</f>
        <v/>
      </c>
    </row>
    <row r="176" spans="1:64" ht="15" customHeight="1">
      <c r="A176" s="1240"/>
      <c r="B176" s="1272"/>
      <c r="C176" s="1261"/>
      <c r="D176" s="1261"/>
      <c r="E176" s="1261"/>
      <c r="F176" s="1262"/>
      <c r="G176" s="1266"/>
      <c r="H176" s="1266"/>
      <c r="I176" s="1266"/>
      <c r="J176" s="1372"/>
      <c r="K176" s="1266"/>
      <c r="L176" s="1247"/>
      <c r="M176" s="1250"/>
      <c r="N176" s="1371"/>
      <c r="O176" s="1368"/>
      <c r="P176" s="1390" t="s">
        <v>2179</v>
      </c>
      <c r="Q176" s="1386" t="str">
        <f>IFERROR(VLOOKUP('別紙様式2-2（４・５月分）'!AR134,【参考】数式用!$AT$5:$AV$22,3,FALSE),"")</f>
        <v/>
      </c>
      <c r="R176" s="1388" t="s">
        <v>2190</v>
      </c>
      <c r="S176" s="1396" t="str">
        <f>IFERROR(VLOOKUP(K174,【参考】数式用!$A$5:$AB$27,MATCH(Q176,【参考】数式用!$B$4:$AB$4,0)+1,0),"")</f>
        <v/>
      </c>
      <c r="T176" s="1459" t="s">
        <v>217</v>
      </c>
      <c r="U176" s="1461"/>
      <c r="V176" s="1463" t="str">
        <f>IFERROR(VLOOKUP(K174,【参考】数式用!$A$5:$AB$27,MATCH(U176,【参考】数式用!$B$4:$AB$4,0)+1,0),"")</f>
        <v/>
      </c>
      <c r="W176" s="1465" t="s">
        <v>19</v>
      </c>
      <c r="X176" s="1508">
        <v>7</v>
      </c>
      <c r="Y176" s="1407" t="s">
        <v>10</v>
      </c>
      <c r="Z176" s="1508">
        <v>4</v>
      </c>
      <c r="AA176" s="1407" t="s">
        <v>45</v>
      </c>
      <c r="AB176" s="1508">
        <v>8</v>
      </c>
      <c r="AC176" s="1407" t="s">
        <v>10</v>
      </c>
      <c r="AD176" s="1508">
        <v>3</v>
      </c>
      <c r="AE176" s="1407" t="s">
        <v>13</v>
      </c>
      <c r="AF176" s="1407" t="s">
        <v>24</v>
      </c>
      <c r="AG176" s="1407">
        <f>IF(X176&gt;=1,(AB176*12+AD176)-(X176*12+Z176)+1,"")</f>
        <v>12</v>
      </c>
      <c r="AH176" s="1409" t="s">
        <v>38</v>
      </c>
      <c r="AI176" s="1496" t="str">
        <f>IFERROR(ROUNDDOWN(ROUND(L174*V176,0)*M174,0)*AG176,"")</f>
        <v/>
      </c>
      <c r="AJ176" s="1510" t="str">
        <f>IFERROR(ROUNDDOWN(ROUND((L174*(V176-AX174)),0)*M174,0)*AG176,"")</f>
        <v/>
      </c>
      <c r="AK176" s="1494">
        <f>IFERROR(IF(OR(N174="",N175="",N177=""),0,ROUNDDOWN(ROUNDDOWN(ROUND(L174*VLOOKUP(K174,【参考】数式用!$A$5:$AB$27,MATCH("新加算Ⅳ",【参考】数式用!$B$4:$AB$4,0)+1,0),0)*M174,0)*AG176*0.5,0)),"")</f>
        <v>0</v>
      </c>
      <c r="AL176" s="1435" t="str">
        <f t="shared" ref="AL176" si="166">IF(U176&lt;&gt;"","新規に適用","")</f>
        <v/>
      </c>
      <c r="AM176" s="1498">
        <f>IFERROR(IF(OR(N177="ベア加算",N177=""),0, IF(OR(U174="新加算Ⅰ",U174="新加算Ⅱ",U174="新加算Ⅲ",U174="新加算Ⅳ"),0,ROUNDDOWN(ROUND(L174*VLOOKUP(K174,【参考】数式用!$A$5:$I$27,MATCH("ベア加算",【参考】数式用!$B$4:$I$4,0)+1,0),0)*M174,0)*AG176)),"")</f>
        <v>0</v>
      </c>
      <c r="AN176" s="1356" t="str">
        <f t="shared" ref="AN176" si="167">IF(AM176=0,"",IF(AND(U176&lt;&gt;"",AN174=""),"新規に適用",IF(AND(U176&lt;&gt;"",AN174&lt;&gt;""),"継続で適用","")))</f>
        <v/>
      </c>
      <c r="AO176" s="1356" t="str">
        <f>IF(AND(U176&lt;&gt;"",AO174=""),"新規に適用",IF(AND(U176&lt;&gt;"",AO174&lt;&gt;""),"継続で適用",""))</f>
        <v/>
      </c>
      <c r="AP176" s="1358"/>
      <c r="AQ176" s="1356" t="str">
        <f>IF(AND(U176&lt;&gt;"",AQ174=""),"新規に適用",IF(AND(U176&lt;&gt;"",AQ174&lt;&gt;""),"継続で適用",""))</f>
        <v/>
      </c>
      <c r="AR176" s="1344" t="str">
        <f t="shared" si="159"/>
        <v/>
      </c>
      <c r="AS176" s="1356" t="str">
        <f>IF(AND(U176&lt;&gt;"",AS174=""),"新規に適用",IF(AND(U176&lt;&gt;"",AS174&lt;&gt;""),"継続で適用",""))</f>
        <v/>
      </c>
      <c r="AT176" s="1331"/>
      <c r="AU176" s="651"/>
      <c r="AV176" s="1493" t="str">
        <f>IF(K174&lt;&gt;"","V列に色付け","")</f>
        <v/>
      </c>
      <c r="AW176" s="1518"/>
      <c r="AX176" s="1507"/>
      <c r="AY176" s="163"/>
      <c r="AZ176" s="163"/>
      <c r="BA176" s="163"/>
      <c r="BB176" s="163"/>
      <c r="BC176" s="163"/>
      <c r="BD176" s="163"/>
      <c r="BE176" s="163"/>
      <c r="BF176" s="163"/>
      <c r="BG176" s="163"/>
      <c r="BH176" s="163"/>
      <c r="BI176" s="163"/>
      <c r="BJ176" s="163"/>
      <c r="BK176" s="163"/>
      <c r="BL176" s="543" t="str">
        <f>G174</f>
        <v/>
      </c>
    </row>
    <row r="177" spans="1:64" ht="30" customHeight="1" thickBot="1">
      <c r="A177" s="1227"/>
      <c r="B177" s="1376"/>
      <c r="C177" s="1377"/>
      <c r="D177" s="1377"/>
      <c r="E177" s="1377"/>
      <c r="F177" s="1378"/>
      <c r="G177" s="1267"/>
      <c r="H177" s="1267"/>
      <c r="I177" s="1267"/>
      <c r="J177" s="1373"/>
      <c r="K177" s="1267"/>
      <c r="L177" s="1248"/>
      <c r="M177" s="1251"/>
      <c r="N177" s="650" t="str">
        <f>IF('別紙様式2-2（４・５月分）'!Q136="","",'別紙様式2-2（４・５月分）'!Q136)</f>
        <v/>
      </c>
      <c r="O177" s="1369"/>
      <c r="P177" s="1391"/>
      <c r="Q177" s="1387"/>
      <c r="R177" s="1389"/>
      <c r="S177" s="1395"/>
      <c r="T177" s="1460"/>
      <c r="U177" s="1462"/>
      <c r="V177" s="1464"/>
      <c r="W177" s="1466"/>
      <c r="X177" s="1509"/>
      <c r="Y177" s="1408"/>
      <c r="Z177" s="1509"/>
      <c r="AA177" s="1408"/>
      <c r="AB177" s="1509"/>
      <c r="AC177" s="1408"/>
      <c r="AD177" s="1509"/>
      <c r="AE177" s="1408"/>
      <c r="AF177" s="1408"/>
      <c r="AG177" s="1408"/>
      <c r="AH177" s="1410"/>
      <c r="AI177" s="1497"/>
      <c r="AJ177" s="1511"/>
      <c r="AK177" s="1495"/>
      <c r="AL177" s="1436"/>
      <c r="AM177" s="1499"/>
      <c r="AN177" s="1357"/>
      <c r="AO177" s="1357"/>
      <c r="AP177" s="1359"/>
      <c r="AQ177" s="1357"/>
      <c r="AR177" s="1345"/>
      <c r="AS177" s="1357"/>
      <c r="AT177" s="581" t="str">
        <f t="shared" ref="AT177" si="168">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51"/>
      <c r="AV177" s="1493"/>
      <c r="AW177" s="652" t="str">
        <f>IF('別紙様式2-2（４・５月分）'!O136="","",'別紙様式2-2（４・５月分）'!O136)</f>
        <v/>
      </c>
      <c r="AX177" s="1507"/>
      <c r="AY177" s="163"/>
      <c r="AZ177" s="163"/>
      <c r="BA177" s="163"/>
      <c r="BB177" s="163"/>
      <c r="BC177" s="163"/>
      <c r="BD177" s="163"/>
      <c r="BE177" s="163"/>
      <c r="BF177" s="163"/>
      <c r="BG177" s="163"/>
      <c r="BH177" s="163"/>
      <c r="BI177" s="163"/>
      <c r="BJ177" s="163"/>
      <c r="BK177" s="163"/>
      <c r="BL177" s="543" t="str">
        <f>G174</f>
        <v/>
      </c>
    </row>
    <row r="178" spans="1:64" ht="30" customHeight="1">
      <c r="A178" s="1241">
        <v>42</v>
      </c>
      <c r="B178" s="1272" t="str">
        <f>IF(基本情報入力シート!C95="","",基本情報入力シート!C95)</f>
        <v/>
      </c>
      <c r="C178" s="1261"/>
      <c r="D178" s="1261"/>
      <c r="E178" s="1261"/>
      <c r="F178" s="1262"/>
      <c r="G178" s="1266" t="str">
        <f>IF(基本情報入力シート!M95="","",基本情報入力シート!M95)</f>
        <v/>
      </c>
      <c r="H178" s="1266" t="str">
        <f>IF(基本情報入力シート!R95="","",基本情報入力シート!R95)</f>
        <v/>
      </c>
      <c r="I178" s="1266" t="str">
        <f>IF(基本情報入力シート!W95="","",基本情報入力シート!W95)</f>
        <v/>
      </c>
      <c r="J178" s="1372" t="str">
        <f>IF(基本情報入力シート!X95="","",基本情報入力シート!X95)</f>
        <v/>
      </c>
      <c r="K178" s="1266" t="str">
        <f>IF(基本情報入力シート!Y95="","",基本情報入力シート!Y95)</f>
        <v/>
      </c>
      <c r="L178" s="1247" t="str">
        <f>IF(基本情報入力シート!AB95="","",基本情報入力シート!AB95)</f>
        <v/>
      </c>
      <c r="M178" s="1374" t="str">
        <f>IF(基本情報入力シート!AC95="","",基本情報入力シート!AC95)</f>
        <v/>
      </c>
      <c r="N178" s="647" t="str">
        <f>IF('別紙様式2-2（４・５月分）'!Q137="","",'別紙様式2-2（４・５月分）'!Q137)</f>
        <v/>
      </c>
      <c r="O178" s="1366" t="str">
        <f>IF(SUM('別紙様式2-2（４・５月分）'!R137:R139)=0,"",SUM('別紙様式2-2（４・５月分）'!R137:R139))</f>
        <v/>
      </c>
      <c r="P178" s="1380" t="str">
        <f>IFERROR(VLOOKUP('別紙様式2-2（４・５月分）'!AR137,【参考】数式用!$AT$5:$AU$22,2,FALSE),"")</f>
        <v/>
      </c>
      <c r="Q178" s="1381"/>
      <c r="R178" s="1382"/>
      <c r="S178" s="1392" t="str">
        <f>IFERROR(VLOOKUP(K178,【参考】数式用!$A$5:$AB$27,MATCH(P178,【参考】数式用!$B$4:$AB$4,0)+1,0),"")</f>
        <v/>
      </c>
      <c r="T178" s="1413" t="s">
        <v>2173</v>
      </c>
      <c r="U178" s="1415"/>
      <c r="V178" s="1457" t="str">
        <f>IFERROR(VLOOKUP(K178,【参考】数式用!$A$5:$AB$27,MATCH(U178,【参考】数式用!$B$4:$AB$4,0)+1,0),"")</f>
        <v/>
      </c>
      <c r="W178" s="1350" t="s">
        <v>19</v>
      </c>
      <c r="X178" s="1352">
        <v>6</v>
      </c>
      <c r="Y178" s="1354" t="s">
        <v>10</v>
      </c>
      <c r="Z178" s="1352">
        <v>6</v>
      </c>
      <c r="AA178" s="1354" t="s">
        <v>45</v>
      </c>
      <c r="AB178" s="1352">
        <v>7</v>
      </c>
      <c r="AC178" s="1354" t="s">
        <v>10</v>
      </c>
      <c r="AD178" s="1352">
        <v>3</v>
      </c>
      <c r="AE178" s="1354" t="s">
        <v>13</v>
      </c>
      <c r="AF178" s="1354" t="s">
        <v>24</v>
      </c>
      <c r="AG178" s="1354">
        <f>IF(X178&gt;=1,(AB178*12+AD178)-(X178*12+Z178)+1,"")</f>
        <v>10</v>
      </c>
      <c r="AH178" s="1360" t="s">
        <v>38</v>
      </c>
      <c r="AI178" s="1481" t="str">
        <f>IFERROR(ROUNDDOWN(ROUND(L178*V178,0)*M178,0)*AG178,"")</f>
        <v/>
      </c>
      <c r="AJ178" s="1483" t="str">
        <f>IFERROR(ROUNDDOWN(ROUND((L178*(V178-AX178)),0)*M178,0)*AG178,"")</f>
        <v/>
      </c>
      <c r="AK178" s="1485">
        <f>IFERROR(IF(OR(N178="",N179="",N181=""),0,ROUNDDOWN(ROUNDDOWN(ROUND(L178*VLOOKUP(K178,【参考】数式用!$A$5:$AB$27,MATCH("新加算Ⅳ",【参考】数式用!$B$4:$AB$4,0)+1,0),0)*M178,0)*AG178*0.5,0)),"")</f>
        <v>0</v>
      </c>
      <c r="AL178" s="1433"/>
      <c r="AM178" s="1487">
        <f>IFERROR(IF(OR(N181="ベア加算",N181=""),0, IF(OR(U178="新加算Ⅰ",U178="新加算Ⅱ",U178="新加算Ⅲ",U178="新加算Ⅳ"),ROUNDDOWN(ROUND(L178*VLOOKUP(K178,【参考】数式用!$A$5:$I$27,MATCH("ベア加算",【参考】数式用!$B$4:$I$4,0)+1,0),0)*M178,0)*AG178,0)),"")</f>
        <v>0</v>
      </c>
      <c r="AN178" s="1502"/>
      <c r="AO178" s="1364"/>
      <c r="AP178" s="1403"/>
      <c r="AQ178" s="1403"/>
      <c r="AR178" s="1489"/>
      <c r="AS178" s="1491"/>
      <c r="AT178" s="556" t="str">
        <f t="shared" si="134"/>
        <v/>
      </c>
      <c r="AU178" s="651"/>
      <c r="AV178" s="1493" t="str">
        <f>IF(K178&lt;&gt;"","V列に色付け","")</f>
        <v/>
      </c>
      <c r="AW178" s="652" t="str">
        <f>IF('別紙様式2-2（４・５月分）'!O137="","",'別紙様式2-2（４・５月分）'!O137)</f>
        <v/>
      </c>
      <c r="AX178" s="1507" t="str">
        <f>IF(SUM('別紙様式2-2（４・５月分）'!P137:P139)=0,"",SUM('別紙様式2-2（４・５月分）'!P137:P139))</f>
        <v/>
      </c>
      <c r="AY178" s="1506" t="str">
        <f>IFERROR(VLOOKUP(K178,【参考】数式用!$AJ$2:$AK$24,2,FALSE),"")</f>
        <v/>
      </c>
      <c r="AZ178" s="1321" t="s">
        <v>2098</v>
      </c>
      <c r="BA178" s="1321" t="s">
        <v>2099</v>
      </c>
      <c r="BB178" s="1321" t="s">
        <v>2100</v>
      </c>
      <c r="BC178" s="1321" t="s">
        <v>2101</v>
      </c>
      <c r="BD178" s="1321" t="str">
        <f>IF(AND(P178&lt;&gt;"新加算Ⅰ",P178&lt;&gt;"新加算Ⅱ",P178&lt;&gt;"新加算Ⅲ",P178&lt;&gt;"新加算Ⅳ"),P178,IF(Q180&lt;&gt;"",Q180,""))</f>
        <v/>
      </c>
      <c r="BE178" s="1321"/>
      <c r="BF178" s="1321" t="str">
        <f t="shared" ref="BF178" si="169">IF(AM178&lt;&gt;0,IF(AN178="○","入力済","未入力"),"")</f>
        <v/>
      </c>
      <c r="BG178" s="1321"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321" t="str">
        <f>IF(OR(U178="新加算Ⅴ（７）",U178="新加算Ⅴ（９）",U178="新加算Ⅴ（10）",U178="新加算Ⅴ（12）",U178="新加算Ⅴ（13）",U178="新加算Ⅴ（14）"),IF(OR(AP178="○",AP178="令和６年度中に満たす"),"入力済","未入力"),"")</f>
        <v/>
      </c>
      <c r="BI178" s="1321" t="str">
        <f>IF(OR(U178="新加算Ⅰ",U178="新加算Ⅱ",U178="新加算Ⅲ",U178="新加算Ⅴ（１）",U178="新加算Ⅴ（３）",U178="新加算Ⅴ（８）"),IF(OR(AQ178="○",AQ178="令和６年度中に満たす"),"入力済","未入力"),"")</f>
        <v/>
      </c>
      <c r="BJ178" s="1512"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493" t="str">
        <f>IF(OR(U178="新加算Ⅰ",U178="新加算Ⅴ（１）",U178="新加算Ⅴ（２）",U178="新加算Ⅴ（５）",U178="新加算Ⅴ（７）",U178="新加算Ⅴ（10）"),IF(AS178="","未入力","入力済"),"")</f>
        <v/>
      </c>
      <c r="BL178" s="543" t="str">
        <f>G178</f>
        <v/>
      </c>
    </row>
    <row r="179" spans="1:64" ht="15" customHeight="1">
      <c r="A179" s="1226"/>
      <c r="B179" s="1272"/>
      <c r="C179" s="1261"/>
      <c r="D179" s="1261"/>
      <c r="E179" s="1261"/>
      <c r="F179" s="1262"/>
      <c r="G179" s="1266"/>
      <c r="H179" s="1266"/>
      <c r="I179" s="1266"/>
      <c r="J179" s="1372"/>
      <c r="K179" s="1266"/>
      <c r="L179" s="1247"/>
      <c r="M179" s="1374"/>
      <c r="N179" s="1370" t="str">
        <f>IF('別紙様式2-2（４・５月分）'!Q138="","",'別紙様式2-2（４・５月分）'!Q138)</f>
        <v/>
      </c>
      <c r="O179" s="1367"/>
      <c r="P179" s="1383"/>
      <c r="Q179" s="1384"/>
      <c r="R179" s="1385"/>
      <c r="S179" s="1393"/>
      <c r="T179" s="1414"/>
      <c r="U179" s="1416"/>
      <c r="V179" s="1458"/>
      <c r="W179" s="1351"/>
      <c r="X179" s="1353"/>
      <c r="Y179" s="1355"/>
      <c r="Z179" s="1353"/>
      <c r="AA179" s="1355"/>
      <c r="AB179" s="1353"/>
      <c r="AC179" s="1355"/>
      <c r="AD179" s="1353"/>
      <c r="AE179" s="1355"/>
      <c r="AF179" s="1355"/>
      <c r="AG179" s="1355"/>
      <c r="AH179" s="1361"/>
      <c r="AI179" s="1482"/>
      <c r="AJ179" s="1484"/>
      <c r="AK179" s="1486"/>
      <c r="AL179" s="1434"/>
      <c r="AM179" s="1488"/>
      <c r="AN179" s="1503"/>
      <c r="AO179" s="1365"/>
      <c r="AP179" s="1404"/>
      <c r="AQ179" s="1404"/>
      <c r="AR179" s="1490"/>
      <c r="AS179" s="1492"/>
      <c r="AT179" s="1331" t="str">
        <f t="shared" si="136"/>
        <v/>
      </c>
      <c r="AU179" s="651"/>
      <c r="AV179" s="1493"/>
      <c r="AW179" s="1518" t="str">
        <f>IF('別紙様式2-2（４・５月分）'!O138="","",'別紙様式2-2（４・５月分）'!O138)</f>
        <v/>
      </c>
      <c r="AX179" s="1507"/>
      <c r="AY179" s="1506"/>
      <c r="AZ179" s="1321"/>
      <c r="BA179" s="1321"/>
      <c r="BB179" s="1321"/>
      <c r="BC179" s="1321"/>
      <c r="BD179" s="1321"/>
      <c r="BE179" s="1321"/>
      <c r="BF179" s="1321"/>
      <c r="BG179" s="1321"/>
      <c r="BH179" s="1321"/>
      <c r="BI179" s="1321"/>
      <c r="BJ179" s="1512"/>
      <c r="BK179" s="1493"/>
      <c r="BL179" s="543" t="str">
        <f>G178</f>
        <v/>
      </c>
    </row>
    <row r="180" spans="1:64" ht="15" customHeight="1">
      <c r="A180" s="1240"/>
      <c r="B180" s="1272"/>
      <c r="C180" s="1261"/>
      <c r="D180" s="1261"/>
      <c r="E180" s="1261"/>
      <c r="F180" s="1262"/>
      <c r="G180" s="1266"/>
      <c r="H180" s="1266"/>
      <c r="I180" s="1266"/>
      <c r="J180" s="1372"/>
      <c r="K180" s="1266"/>
      <c r="L180" s="1247"/>
      <c r="M180" s="1374"/>
      <c r="N180" s="1371"/>
      <c r="O180" s="1368"/>
      <c r="P180" s="1390" t="s">
        <v>2179</v>
      </c>
      <c r="Q180" s="1386" t="str">
        <f>IFERROR(VLOOKUP('別紙様式2-2（４・５月分）'!AR137,【参考】数式用!$AT$5:$AV$22,3,FALSE),"")</f>
        <v/>
      </c>
      <c r="R180" s="1388" t="s">
        <v>2190</v>
      </c>
      <c r="S180" s="1394" t="str">
        <f>IFERROR(VLOOKUP(K178,【参考】数式用!$A$5:$AB$27,MATCH(Q180,【参考】数式用!$B$4:$AB$4,0)+1,0),"")</f>
        <v/>
      </c>
      <c r="T180" s="1459" t="s">
        <v>217</v>
      </c>
      <c r="U180" s="1461"/>
      <c r="V180" s="1463" t="str">
        <f>IFERROR(VLOOKUP(K178,【参考】数式用!$A$5:$AB$27,MATCH(U180,【参考】数式用!$B$4:$AB$4,0)+1,0),"")</f>
        <v/>
      </c>
      <c r="W180" s="1465" t="s">
        <v>19</v>
      </c>
      <c r="X180" s="1508">
        <v>7</v>
      </c>
      <c r="Y180" s="1407" t="s">
        <v>10</v>
      </c>
      <c r="Z180" s="1508">
        <v>4</v>
      </c>
      <c r="AA180" s="1407" t="s">
        <v>45</v>
      </c>
      <c r="AB180" s="1508">
        <v>8</v>
      </c>
      <c r="AC180" s="1407" t="s">
        <v>10</v>
      </c>
      <c r="AD180" s="1508">
        <v>3</v>
      </c>
      <c r="AE180" s="1407" t="s">
        <v>13</v>
      </c>
      <c r="AF180" s="1407" t="s">
        <v>24</v>
      </c>
      <c r="AG180" s="1407">
        <f>IF(X180&gt;=1,(AB180*12+AD180)-(X180*12+Z180)+1,"")</f>
        <v>12</v>
      </c>
      <c r="AH180" s="1409" t="s">
        <v>38</v>
      </c>
      <c r="AI180" s="1496" t="str">
        <f>IFERROR(ROUNDDOWN(ROUND(L178*V180,0)*M178,0)*AG180,"")</f>
        <v/>
      </c>
      <c r="AJ180" s="1510" t="str">
        <f>IFERROR(ROUNDDOWN(ROUND((L178*(V180-AX178)),0)*M178,0)*AG180,"")</f>
        <v/>
      </c>
      <c r="AK180" s="1494">
        <f>IFERROR(IF(OR(N178="",N179="",N181=""),0,ROUNDDOWN(ROUNDDOWN(ROUND(L178*VLOOKUP(K178,【参考】数式用!$A$5:$AB$27,MATCH("新加算Ⅳ",【参考】数式用!$B$4:$AB$4,0)+1,0),0)*M178,0)*AG180*0.5,0)),"")</f>
        <v>0</v>
      </c>
      <c r="AL180" s="1435" t="str">
        <f t="shared" ref="AL180" si="170">IF(U180&lt;&gt;"","新規に適用","")</f>
        <v/>
      </c>
      <c r="AM180" s="1498">
        <f>IFERROR(IF(OR(N181="ベア加算",N181=""),0, IF(OR(U178="新加算Ⅰ",U178="新加算Ⅱ",U178="新加算Ⅲ",U178="新加算Ⅳ"),0,ROUNDDOWN(ROUND(L178*VLOOKUP(K178,【参考】数式用!$A$5:$I$27,MATCH("ベア加算",【参考】数式用!$B$4:$I$4,0)+1,0),0)*M178,0)*AG180)),"")</f>
        <v>0</v>
      </c>
      <c r="AN180" s="1356" t="str">
        <f t="shared" ref="AN180" si="171">IF(AM180=0,"",IF(AND(U180&lt;&gt;"",AN178=""),"新規に適用",IF(AND(U180&lt;&gt;"",AN178&lt;&gt;""),"継続で適用","")))</f>
        <v/>
      </c>
      <c r="AO180" s="1356" t="str">
        <f>IF(AND(U180&lt;&gt;"",AO178=""),"新規に適用",IF(AND(U180&lt;&gt;"",AO178&lt;&gt;""),"継続で適用",""))</f>
        <v/>
      </c>
      <c r="AP180" s="1358"/>
      <c r="AQ180" s="1356" t="str">
        <f>IF(AND(U180&lt;&gt;"",AQ178=""),"新規に適用",IF(AND(U180&lt;&gt;"",AQ178&lt;&gt;""),"継続で適用",""))</f>
        <v/>
      </c>
      <c r="AR180" s="1344" t="str">
        <f t="shared" si="159"/>
        <v/>
      </c>
      <c r="AS180" s="1356" t="str">
        <f>IF(AND(U180&lt;&gt;"",AS178=""),"新規に適用",IF(AND(U180&lt;&gt;"",AS178&lt;&gt;""),"継続で適用",""))</f>
        <v/>
      </c>
      <c r="AT180" s="1331"/>
      <c r="AU180" s="651"/>
      <c r="AV180" s="1493" t="str">
        <f>IF(K178&lt;&gt;"","V列に色付け","")</f>
        <v/>
      </c>
      <c r="AW180" s="1518"/>
      <c r="AX180" s="1507"/>
      <c r="AY180" s="163"/>
      <c r="AZ180" s="163"/>
      <c r="BA180" s="163"/>
      <c r="BB180" s="163"/>
      <c r="BC180" s="163"/>
      <c r="BD180" s="163"/>
      <c r="BE180" s="163"/>
      <c r="BF180" s="163"/>
      <c r="BG180" s="163"/>
      <c r="BH180" s="163"/>
      <c r="BI180" s="163"/>
      <c r="BJ180" s="163"/>
      <c r="BK180" s="163"/>
      <c r="BL180" s="543" t="str">
        <f>G178</f>
        <v/>
      </c>
    </row>
    <row r="181" spans="1:64" ht="30" customHeight="1" thickBot="1">
      <c r="A181" s="1227"/>
      <c r="B181" s="1376"/>
      <c r="C181" s="1377"/>
      <c r="D181" s="1377"/>
      <c r="E181" s="1377"/>
      <c r="F181" s="1378"/>
      <c r="G181" s="1267"/>
      <c r="H181" s="1267"/>
      <c r="I181" s="1267"/>
      <c r="J181" s="1373"/>
      <c r="K181" s="1267"/>
      <c r="L181" s="1248"/>
      <c r="M181" s="1375"/>
      <c r="N181" s="650" t="str">
        <f>IF('別紙様式2-2（４・５月分）'!Q139="","",'別紙様式2-2（４・５月分）'!Q139)</f>
        <v/>
      </c>
      <c r="O181" s="1369"/>
      <c r="P181" s="1391"/>
      <c r="Q181" s="1387"/>
      <c r="R181" s="1389"/>
      <c r="S181" s="1395"/>
      <c r="T181" s="1460"/>
      <c r="U181" s="1462"/>
      <c r="V181" s="1464"/>
      <c r="W181" s="1466"/>
      <c r="X181" s="1509"/>
      <c r="Y181" s="1408"/>
      <c r="Z181" s="1509"/>
      <c r="AA181" s="1408"/>
      <c r="AB181" s="1509"/>
      <c r="AC181" s="1408"/>
      <c r="AD181" s="1509"/>
      <c r="AE181" s="1408"/>
      <c r="AF181" s="1408"/>
      <c r="AG181" s="1408"/>
      <c r="AH181" s="1410"/>
      <c r="AI181" s="1497"/>
      <c r="AJ181" s="1511"/>
      <c r="AK181" s="1495"/>
      <c r="AL181" s="1436"/>
      <c r="AM181" s="1499"/>
      <c r="AN181" s="1357"/>
      <c r="AO181" s="1357"/>
      <c r="AP181" s="1359"/>
      <c r="AQ181" s="1357"/>
      <c r="AR181" s="1345"/>
      <c r="AS181" s="1357"/>
      <c r="AT181" s="581" t="str">
        <f t="shared" ref="AT181" si="172">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51"/>
      <c r="AV181" s="1493"/>
      <c r="AW181" s="652" t="str">
        <f>IF('別紙様式2-2（４・５月分）'!O139="","",'別紙様式2-2（４・５月分）'!O139)</f>
        <v/>
      </c>
      <c r="AX181" s="1507"/>
      <c r="AY181" s="163"/>
      <c r="AZ181" s="163"/>
      <c r="BA181" s="163"/>
      <c r="BB181" s="163"/>
      <c r="BC181" s="163"/>
      <c r="BD181" s="163"/>
      <c r="BE181" s="163"/>
      <c r="BF181" s="163"/>
      <c r="BG181" s="163"/>
      <c r="BH181" s="163"/>
      <c r="BI181" s="163"/>
      <c r="BJ181" s="163"/>
      <c r="BK181" s="163"/>
      <c r="BL181" s="543" t="str">
        <f>G178</f>
        <v/>
      </c>
    </row>
    <row r="182" spans="1:64" ht="30" customHeight="1">
      <c r="A182" s="1225">
        <v>43</v>
      </c>
      <c r="B182" s="1271" t="str">
        <f>IF(基本情報入力シート!C96="","",基本情報入力シート!C96)</f>
        <v/>
      </c>
      <c r="C182" s="1259"/>
      <c r="D182" s="1259"/>
      <c r="E182" s="1259"/>
      <c r="F182" s="1260"/>
      <c r="G182" s="1265" t="str">
        <f>IF(基本情報入力シート!M96="","",基本情報入力シート!M96)</f>
        <v/>
      </c>
      <c r="H182" s="1265" t="str">
        <f>IF(基本情報入力シート!R96="","",基本情報入力シート!R96)</f>
        <v/>
      </c>
      <c r="I182" s="1265" t="str">
        <f>IF(基本情報入力シート!W96="","",基本情報入力シート!W96)</f>
        <v/>
      </c>
      <c r="J182" s="1379" t="str">
        <f>IF(基本情報入力シート!X96="","",基本情報入力シート!X96)</f>
        <v/>
      </c>
      <c r="K182" s="1265" t="str">
        <f>IF(基本情報入力シート!Y96="","",基本情報入力シート!Y96)</f>
        <v/>
      </c>
      <c r="L182" s="1246" t="str">
        <f>IF(基本情報入力シート!AB96="","",基本情報入力シート!AB96)</f>
        <v/>
      </c>
      <c r="M182" s="1249" t="str">
        <f>IF(基本情報入力シート!AC96="","",基本情報入力シート!AC96)</f>
        <v/>
      </c>
      <c r="N182" s="647" t="str">
        <f>IF('別紙様式2-2（４・５月分）'!Q140="","",'別紙様式2-2（４・５月分）'!Q140)</f>
        <v/>
      </c>
      <c r="O182" s="1366" t="str">
        <f>IF(SUM('別紙様式2-2（４・５月分）'!R140:R142)=0,"",SUM('別紙様式2-2（４・５月分）'!R140:R142))</f>
        <v/>
      </c>
      <c r="P182" s="1380" t="str">
        <f>IFERROR(VLOOKUP('別紙様式2-2（４・５月分）'!AR140,【参考】数式用!$AT$5:$AU$22,2,FALSE),"")</f>
        <v/>
      </c>
      <c r="Q182" s="1381"/>
      <c r="R182" s="1382"/>
      <c r="S182" s="1392" t="str">
        <f>IFERROR(VLOOKUP(K182,【参考】数式用!$A$5:$AB$27,MATCH(P182,【参考】数式用!$B$4:$AB$4,0)+1,0),"")</f>
        <v/>
      </c>
      <c r="T182" s="1413" t="s">
        <v>2173</v>
      </c>
      <c r="U182" s="1415"/>
      <c r="V182" s="1457" t="str">
        <f>IFERROR(VLOOKUP(K182,【参考】数式用!$A$5:$AB$27,MATCH(U182,【参考】数式用!$B$4:$AB$4,0)+1,0),"")</f>
        <v/>
      </c>
      <c r="W182" s="1350" t="s">
        <v>19</v>
      </c>
      <c r="X182" s="1352">
        <v>6</v>
      </c>
      <c r="Y182" s="1354" t="s">
        <v>10</v>
      </c>
      <c r="Z182" s="1352">
        <v>6</v>
      </c>
      <c r="AA182" s="1354" t="s">
        <v>45</v>
      </c>
      <c r="AB182" s="1352">
        <v>7</v>
      </c>
      <c r="AC182" s="1354" t="s">
        <v>10</v>
      </c>
      <c r="AD182" s="1352">
        <v>3</v>
      </c>
      <c r="AE182" s="1354" t="s">
        <v>13</v>
      </c>
      <c r="AF182" s="1354" t="s">
        <v>24</v>
      </c>
      <c r="AG182" s="1354">
        <f>IF(X182&gt;=1,(AB182*12+AD182)-(X182*12+Z182)+1,"")</f>
        <v>10</v>
      </c>
      <c r="AH182" s="1360" t="s">
        <v>38</v>
      </c>
      <c r="AI182" s="1481" t="str">
        <f>IFERROR(ROUNDDOWN(ROUND(L182*V182,0)*M182,0)*AG182,"")</f>
        <v/>
      </c>
      <c r="AJ182" s="1483" t="str">
        <f>IFERROR(ROUNDDOWN(ROUND((L182*(V182-AX182)),0)*M182,0)*AG182,"")</f>
        <v/>
      </c>
      <c r="AK182" s="1485">
        <f>IFERROR(IF(OR(N182="",N183="",N185=""),0,ROUNDDOWN(ROUNDDOWN(ROUND(L182*VLOOKUP(K182,【参考】数式用!$A$5:$AB$27,MATCH("新加算Ⅳ",【参考】数式用!$B$4:$AB$4,0)+1,0),0)*M182,0)*AG182*0.5,0)),"")</f>
        <v>0</v>
      </c>
      <c r="AL182" s="1433"/>
      <c r="AM182" s="1487">
        <f>IFERROR(IF(OR(N185="ベア加算",N185=""),0, IF(OR(U182="新加算Ⅰ",U182="新加算Ⅱ",U182="新加算Ⅲ",U182="新加算Ⅳ"),ROUNDDOWN(ROUND(L182*VLOOKUP(K182,【参考】数式用!$A$5:$I$27,MATCH("ベア加算",【参考】数式用!$B$4:$I$4,0)+1,0),0)*M182,0)*AG182,0)),"")</f>
        <v>0</v>
      </c>
      <c r="AN182" s="1502"/>
      <c r="AO182" s="1364"/>
      <c r="AP182" s="1403"/>
      <c r="AQ182" s="1403"/>
      <c r="AR182" s="1489"/>
      <c r="AS182" s="1491"/>
      <c r="AT182" s="556" t="str">
        <f t="shared" si="134"/>
        <v/>
      </c>
      <c r="AU182" s="651"/>
      <c r="AV182" s="1493" t="str">
        <f>IF(K182&lt;&gt;"","V列に色付け","")</f>
        <v/>
      </c>
      <c r="AW182" s="652" t="str">
        <f>IF('別紙様式2-2（４・５月分）'!O140="","",'別紙様式2-2（４・５月分）'!O140)</f>
        <v/>
      </c>
      <c r="AX182" s="1507" t="str">
        <f>IF(SUM('別紙様式2-2（４・５月分）'!P140:P142)=0,"",SUM('別紙様式2-2（４・５月分）'!P140:P142))</f>
        <v/>
      </c>
      <c r="AY182" s="1506" t="str">
        <f>IFERROR(VLOOKUP(K182,【参考】数式用!$AJ$2:$AK$24,2,FALSE),"")</f>
        <v/>
      </c>
      <c r="AZ182" s="1321" t="s">
        <v>2098</v>
      </c>
      <c r="BA182" s="1321" t="s">
        <v>2099</v>
      </c>
      <c r="BB182" s="1321" t="s">
        <v>2100</v>
      </c>
      <c r="BC182" s="1321" t="s">
        <v>2101</v>
      </c>
      <c r="BD182" s="1321" t="str">
        <f>IF(AND(P182&lt;&gt;"新加算Ⅰ",P182&lt;&gt;"新加算Ⅱ",P182&lt;&gt;"新加算Ⅲ",P182&lt;&gt;"新加算Ⅳ"),P182,IF(Q184&lt;&gt;"",Q184,""))</f>
        <v/>
      </c>
      <c r="BE182" s="1321"/>
      <c r="BF182" s="1321" t="str">
        <f t="shared" ref="BF182" si="173">IF(AM182&lt;&gt;0,IF(AN182="○","入力済","未入力"),"")</f>
        <v/>
      </c>
      <c r="BG182" s="1321"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321" t="str">
        <f>IF(OR(U182="新加算Ⅴ（７）",U182="新加算Ⅴ（９）",U182="新加算Ⅴ（10）",U182="新加算Ⅴ（12）",U182="新加算Ⅴ（13）",U182="新加算Ⅴ（14）"),IF(OR(AP182="○",AP182="令和６年度中に満たす"),"入力済","未入力"),"")</f>
        <v/>
      </c>
      <c r="BI182" s="1321" t="str">
        <f>IF(OR(U182="新加算Ⅰ",U182="新加算Ⅱ",U182="新加算Ⅲ",U182="新加算Ⅴ（１）",U182="新加算Ⅴ（３）",U182="新加算Ⅴ（８）"),IF(OR(AQ182="○",AQ182="令和６年度中に満たす"),"入力済","未入力"),"")</f>
        <v/>
      </c>
      <c r="BJ182" s="1512"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493" t="str">
        <f>IF(OR(U182="新加算Ⅰ",U182="新加算Ⅴ（１）",U182="新加算Ⅴ（２）",U182="新加算Ⅴ（５）",U182="新加算Ⅴ（７）",U182="新加算Ⅴ（10）"),IF(AS182="","未入力","入力済"),"")</f>
        <v/>
      </c>
      <c r="BL182" s="543" t="str">
        <f>G182</f>
        <v/>
      </c>
    </row>
    <row r="183" spans="1:64" ht="15" customHeight="1">
      <c r="A183" s="1226"/>
      <c r="B183" s="1272"/>
      <c r="C183" s="1261"/>
      <c r="D183" s="1261"/>
      <c r="E183" s="1261"/>
      <c r="F183" s="1262"/>
      <c r="G183" s="1266"/>
      <c r="H183" s="1266"/>
      <c r="I183" s="1266"/>
      <c r="J183" s="1372"/>
      <c r="K183" s="1266"/>
      <c r="L183" s="1247"/>
      <c r="M183" s="1250"/>
      <c r="N183" s="1370" t="str">
        <f>IF('別紙様式2-2（４・５月分）'!Q141="","",'別紙様式2-2（４・５月分）'!Q141)</f>
        <v/>
      </c>
      <c r="O183" s="1367"/>
      <c r="P183" s="1383"/>
      <c r="Q183" s="1384"/>
      <c r="R183" s="1385"/>
      <c r="S183" s="1393"/>
      <c r="T183" s="1414"/>
      <c r="U183" s="1416"/>
      <c r="V183" s="1458"/>
      <c r="W183" s="1351"/>
      <c r="X183" s="1353"/>
      <c r="Y183" s="1355"/>
      <c r="Z183" s="1353"/>
      <c r="AA183" s="1355"/>
      <c r="AB183" s="1353"/>
      <c r="AC183" s="1355"/>
      <c r="AD183" s="1353"/>
      <c r="AE183" s="1355"/>
      <c r="AF183" s="1355"/>
      <c r="AG183" s="1355"/>
      <c r="AH183" s="1361"/>
      <c r="AI183" s="1482"/>
      <c r="AJ183" s="1484"/>
      <c r="AK183" s="1486"/>
      <c r="AL183" s="1434"/>
      <c r="AM183" s="1488"/>
      <c r="AN183" s="1503"/>
      <c r="AO183" s="1365"/>
      <c r="AP183" s="1404"/>
      <c r="AQ183" s="1404"/>
      <c r="AR183" s="1490"/>
      <c r="AS183" s="1492"/>
      <c r="AT183" s="1331" t="str">
        <f t="shared" si="136"/>
        <v/>
      </c>
      <c r="AU183" s="651"/>
      <c r="AV183" s="1493"/>
      <c r="AW183" s="1518" t="str">
        <f>IF('別紙様式2-2（４・５月分）'!O141="","",'別紙様式2-2（４・５月分）'!O141)</f>
        <v/>
      </c>
      <c r="AX183" s="1507"/>
      <c r="AY183" s="1506"/>
      <c r="AZ183" s="1321"/>
      <c r="BA183" s="1321"/>
      <c r="BB183" s="1321"/>
      <c r="BC183" s="1321"/>
      <c r="BD183" s="1321"/>
      <c r="BE183" s="1321"/>
      <c r="BF183" s="1321"/>
      <c r="BG183" s="1321"/>
      <c r="BH183" s="1321"/>
      <c r="BI183" s="1321"/>
      <c r="BJ183" s="1512"/>
      <c r="BK183" s="1493"/>
      <c r="BL183" s="543" t="str">
        <f>G182</f>
        <v/>
      </c>
    </row>
    <row r="184" spans="1:64" ht="15" customHeight="1">
      <c r="A184" s="1240"/>
      <c r="B184" s="1272"/>
      <c r="C184" s="1261"/>
      <c r="D184" s="1261"/>
      <c r="E184" s="1261"/>
      <c r="F184" s="1262"/>
      <c r="G184" s="1266"/>
      <c r="H184" s="1266"/>
      <c r="I184" s="1266"/>
      <c r="J184" s="1372"/>
      <c r="K184" s="1266"/>
      <c r="L184" s="1247"/>
      <c r="M184" s="1250"/>
      <c r="N184" s="1371"/>
      <c r="O184" s="1368"/>
      <c r="P184" s="1390" t="s">
        <v>2179</v>
      </c>
      <c r="Q184" s="1386" t="str">
        <f>IFERROR(VLOOKUP('別紙様式2-2（４・５月分）'!AR140,【参考】数式用!$AT$5:$AV$22,3,FALSE),"")</f>
        <v/>
      </c>
      <c r="R184" s="1388" t="s">
        <v>2190</v>
      </c>
      <c r="S184" s="1396" t="str">
        <f>IFERROR(VLOOKUP(K182,【参考】数式用!$A$5:$AB$27,MATCH(Q184,【参考】数式用!$B$4:$AB$4,0)+1,0),"")</f>
        <v/>
      </c>
      <c r="T184" s="1459" t="s">
        <v>217</v>
      </c>
      <c r="U184" s="1461"/>
      <c r="V184" s="1463" t="str">
        <f>IFERROR(VLOOKUP(K182,【参考】数式用!$A$5:$AB$27,MATCH(U184,【参考】数式用!$B$4:$AB$4,0)+1,0),"")</f>
        <v/>
      </c>
      <c r="W184" s="1465" t="s">
        <v>19</v>
      </c>
      <c r="X184" s="1508">
        <v>7</v>
      </c>
      <c r="Y184" s="1407" t="s">
        <v>10</v>
      </c>
      <c r="Z184" s="1508">
        <v>4</v>
      </c>
      <c r="AA184" s="1407" t="s">
        <v>45</v>
      </c>
      <c r="AB184" s="1508">
        <v>8</v>
      </c>
      <c r="AC184" s="1407" t="s">
        <v>10</v>
      </c>
      <c r="AD184" s="1508">
        <v>3</v>
      </c>
      <c r="AE184" s="1407" t="s">
        <v>13</v>
      </c>
      <c r="AF184" s="1407" t="s">
        <v>24</v>
      </c>
      <c r="AG184" s="1407">
        <f>IF(X184&gt;=1,(AB184*12+AD184)-(X184*12+Z184)+1,"")</f>
        <v>12</v>
      </c>
      <c r="AH184" s="1409" t="s">
        <v>38</v>
      </c>
      <c r="AI184" s="1496" t="str">
        <f>IFERROR(ROUNDDOWN(ROUND(L182*V184,0)*M182,0)*AG184,"")</f>
        <v/>
      </c>
      <c r="AJ184" s="1510" t="str">
        <f>IFERROR(ROUNDDOWN(ROUND((L182*(V184-AX182)),0)*M182,0)*AG184,"")</f>
        <v/>
      </c>
      <c r="AK184" s="1494">
        <f>IFERROR(IF(OR(N182="",N183="",N185=""),0,ROUNDDOWN(ROUNDDOWN(ROUND(L182*VLOOKUP(K182,【参考】数式用!$A$5:$AB$27,MATCH("新加算Ⅳ",【参考】数式用!$B$4:$AB$4,0)+1,0),0)*M182,0)*AG184*0.5,0)),"")</f>
        <v>0</v>
      </c>
      <c r="AL184" s="1435" t="str">
        <f t="shared" ref="AL184" si="174">IF(U184&lt;&gt;"","新規に適用","")</f>
        <v/>
      </c>
      <c r="AM184" s="1498">
        <f>IFERROR(IF(OR(N185="ベア加算",N185=""),0, IF(OR(U182="新加算Ⅰ",U182="新加算Ⅱ",U182="新加算Ⅲ",U182="新加算Ⅳ"),0,ROUNDDOWN(ROUND(L182*VLOOKUP(K182,【参考】数式用!$A$5:$I$27,MATCH("ベア加算",【参考】数式用!$B$4:$I$4,0)+1,0),0)*M182,0)*AG184)),"")</f>
        <v>0</v>
      </c>
      <c r="AN184" s="1356" t="str">
        <f t="shared" ref="AN184" si="175">IF(AM184=0,"",IF(AND(U184&lt;&gt;"",AN182=""),"新規に適用",IF(AND(U184&lt;&gt;"",AN182&lt;&gt;""),"継続で適用","")))</f>
        <v/>
      </c>
      <c r="AO184" s="1356" t="str">
        <f>IF(AND(U184&lt;&gt;"",AO182=""),"新規に適用",IF(AND(U184&lt;&gt;"",AO182&lt;&gt;""),"継続で適用",""))</f>
        <v/>
      </c>
      <c r="AP184" s="1358"/>
      <c r="AQ184" s="1356" t="str">
        <f>IF(AND(U184&lt;&gt;"",AQ182=""),"新規に適用",IF(AND(U184&lt;&gt;"",AQ182&lt;&gt;""),"継続で適用",""))</f>
        <v/>
      </c>
      <c r="AR184" s="1344" t="str">
        <f t="shared" si="159"/>
        <v/>
      </c>
      <c r="AS184" s="1356" t="str">
        <f>IF(AND(U184&lt;&gt;"",AS182=""),"新規に適用",IF(AND(U184&lt;&gt;"",AS182&lt;&gt;""),"継続で適用",""))</f>
        <v/>
      </c>
      <c r="AT184" s="1331"/>
      <c r="AU184" s="651"/>
      <c r="AV184" s="1493" t="str">
        <f>IF(K182&lt;&gt;"","V列に色付け","")</f>
        <v/>
      </c>
      <c r="AW184" s="1518"/>
      <c r="AX184" s="1507"/>
      <c r="AY184" s="163"/>
      <c r="AZ184" s="163"/>
      <c r="BA184" s="163"/>
      <c r="BB184" s="163"/>
      <c r="BC184" s="163"/>
      <c r="BD184" s="163"/>
      <c r="BE184" s="163"/>
      <c r="BF184" s="163"/>
      <c r="BG184" s="163"/>
      <c r="BH184" s="163"/>
      <c r="BI184" s="163"/>
      <c r="BJ184" s="163"/>
      <c r="BK184" s="163"/>
      <c r="BL184" s="543" t="str">
        <f>G182</f>
        <v/>
      </c>
    </row>
    <row r="185" spans="1:64" ht="30" customHeight="1" thickBot="1">
      <c r="A185" s="1227"/>
      <c r="B185" s="1376"/>
      <c r="C185" s="1377"/>
      <c r="D185" s="1377"/>
      <c r="E185" s="1377"/>
      <c r="F185" s="1378"/>
      <c r="G185" s="1267"/>
      <c r="H185" s="1267"/>
      <c r="I185" s="1267"/>
      <c r="J185" s="1373"/>
      <c r="K185" s="1267"/>
      <c r="L185" s="1248"/>
      <c r="M185" s="1251"/>
      <c r="N185" s="650" t="str">
        <f>IF('別紙様式2-2（４・５月分）'!Q142="","",'別紙様式2-2（４・５月分）'!Q142)</f>
        <v/>
      </c>
      <c r="O185" s="1369"/>
      <c r="P185" s="1391"/>
      <c r="Q185" s="1387"/>
      <c r="R185" s="1389"/>
      <c r="S185" s="1395"/>
      <c r="T185" s="1460"/>
      <c r="U185" s="1462"/>
      <c r="V185" s="1464"/>
      <c r="W185" s="1466"/>
      <c r="X185" s="1509"/>
      <c r="Y185" s="1408"/>
      <c r="Z185" s="1509"/>
      <c r="AA185" s="1408"/>
      <c r="AB185" s="1509"/>
      <c r="AC185" s="1408"/>
      <c r="AD185" s="1509"/>
      <c r="AE185" s="1408"/>
      <c r="AF185" s="1408"/>
      <c r="AG185" s="1408"/>
      <c r="AH185" s="1410"/>
      <c r="AI185" s="1497"/>
      <c r="AJ185" s="1511"/>
      <c r="AK185" s="1495"/>
      <c r="AL185" s="1436"/>
      <c r="AM185" s="1499"/>
      <c r="AN185" s="1357"/>
      <c r="AO185" s="1357"/>
      <c r="AP185" s="1359"/>
      <c r="AQ185" s="1357"/>
      <c r="AR185" s="1345"/>
      <c r="AS185" s="1357"/>
      <c r="AT185" s="581" t="str">
        <f t="shared" ref="AT185" si="176">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51"/>
      <c r="AV185" s="1493"/>
      <c r="AW185" s="652" t="str">
        <f>IF('別紙様式2-2（４・５月分）'!O142="","",'別紙様式2-2（４・５月分）'!O142)</f>
        <v/>
      </c>
      <c r="AX185" s="1507"/>
      <c r="AY185" s="163"/>
      <c r="AZ185" s="163"/>
      <c r="BA185" s="163"/>
      <c r="BB185" s="163"/>
      <c r="BC185" s="163"/>
      <c r="BD185" s="163"/>
      <c r="BE185" s="163"/>
      <c r="BF185" s="163"/>
      <c r="BG185" s="163"/>
      <c r="BH185" s="163"/>
      <c r="BI185" s="163"/>
      <c r="BJ185" s="163"/>
      <c r="BK185" s="163"/>
      <c r="BL185" s="543" t="str">
        <f>G182</f>
        <v/>
      </c>
    </row>
    <row r="186" spans="1:64" ht="30" customHeight="1">
      <c r="A186" s="1241">
        <v>44</v>
      </c>
      <c r="B186" s="1272" t="str">
        <f>IF(基本情報入力シート!C97="","",基本情報入力シート!C97)</f>
        <v/>
      </c>
      <c r="C186" s="1261"/>
      <c r="D186" s="1261"/>
      <c r="E186" s="1261"/>
      <c r="F186" s="1262"/>
      <c r="G186" s="1266" t="str">
        <f>IF(基本情報入力シート!M97="","",基本情報入力シート!M97)</f>
        <v/>
      </c>
      <c r="H186" s="1266" t="str">
        <f>IF(基本情報入力シート!R97="","",基本情報入力シート!R97)</f>
        <v/>
      </c>
      <c r="I186" s="1266" t="str">
        <f>IF(基本情報入力シート!W97="","",基本情報入力シート!W97)</f>
        <v/>
      </c>
      <c r="J186" s="1372" t="str">
        <f>IF(基本情報入力シート!X97="","",基本情報入力シート!X97)</f>
        <v/>
      </c>
      <c r="K186" s="1266" t="str">
        <f>IF(基本情報入力シート!Y97="","",基本情報入力シート!Y97)</f>
        <v/>
      </c>
      <c r="L186" s="1247" t="str">
        <f>IF(基本情報入力シート!AB97="","",基本情報入力シート!AB97)</f>
        <v/>
      </c>
      <c r="M186" s="1374" t="str">
        <f>IF(基本情報入力シート!AC97="","",基本情報入力シート!AC97)</f>
        <v/>
      </c>
      <c r="N186" s="647" t="str">
        <f>IF('別紙様式2-2（４・５月分）'!Q143="","",'別紙様式2-2（４・５月分）'!Q143)</f>
        <v/>
      </c>
      <c r="O186" s="1366" t="str">
        <f>IF(SUM('別紙様式2-2（４・５月分）'!R143:R145)=0,"",SUM('別紙様式2-2（４・５月分）'!R143:R145))</f>
        <v/>
      </c>
      <c r="P186" s="1380" t="str">
        <f>IFERROR(VLOOKUP('別紙様式2-2（４・５月分）'!AR143,【参考】数式用!$AT$5:$AU$22,2,FALSE),"")</f>
        <v/>
      </c>
      <c r="Q186" s="1381"/>
      <c r="R186" s="1382"/>
      <c r="S186" s="1392" t="str">
        <f>IFERROR(VLOOKUP(K186,【参考】数式用!$A$5:$AB$27,MATCH(P186,【参考】数式用!$B$4:$AB$4,0)+1,0),"")</f>
        <v/>
      </c>
      <c r="T186" s="1413" t="s">
        <v>2173</v>
      </c>
      <c r="U186" s="1415"/>
      <c r="V186" s="1457" t="str">
        <f>IFERROR(VLOOKUP(K186,【参考】数式用!$A$5:$AB$27,MATCH(U186,【参考】数式用!$B$4:$AB$4,0)+1,0),"")</f>
        <v/>
      </c>
      <c r="W186" s="1350" t="s">
        <v>19</v>
      </c>
      <c r="X186" s="1352">
        <v>6</v>
      </c>
      <c r="Y186" s="1354" t="s">
        <v>10</v>
      </c>
      <c r="Z186" s="1352">
        <v>6</v>
      </c>
      <c r="AA186" s="1354" t="s">
        <v>45</v>
      </c>
      <c r="AB186" s="1352">
        <v>7</v>
      </c>
      <c r="AC186" s="1354" t="s">
        <v>10</v>
      </c>
      <c r="AD186" s="1352">
        <v>3</v>
      </c>
      <c r="AE186" s="1354" t="s">
        <v>13</v>
      </c>
      <c r="AF186" s="1354" t="s">
        <v>24</v>
      </c>
      <c r="AG186" s="1354">
        <f>IF(X186&gt;=1,(AB186*12+AD186)-(X186*12+Z186)+1,"")</f>
        <v>10</v>
      </c>
      <c r="AH186" s="1360" t="s">
        <v>38</v>
      </c>
      <c r="AI186" s="1481" t="str">
        <f>IFERROR(ROUNDDOWN(ROUND(L186*V186,0)*M186,0)*AG186,"")</f>
        <v/>
      </c>
      <c r="AJ186" s="1483" t="str">
        <f>IFERROR(ROUNDDOWN(ROUND((L186*(V186-AX186)),0)*M186,0)*AG186,"")</f>
        <v/>
      </c>
      <c r="AK186" s="1485">
        <f>IFERROR(IF(OR(N186="",N187="",N189=""),0,ROUNDDOWN(ROUNDDOWN(ROUND(L186*VLOOKUP(K186,【参考】数式用!$A$5:$AB$27,MATCH("新加算Ⅳ",【参考】数式用!$B$4:$AB$4,0)+1,0),0)*M186,0)*AG186*0.5,0)),"")</f>
        <v>0</v>
      </c>
      <c r="AL186" s="1433"/>
      <c r="AM186" s="1487">
        <f>IFERROR(IF(OR(N189="ベア加算",N189=""),0, IF(OR(U186="新加算Ⅰ",U186="新加算Ⅱ",U186="新加算Ⅲ",U186="新加算Ⅳ"),ROUNDDOWN(ROUND(L186*VLOOKUP(K186,【参考】数式用!$A$5:$I$27,MATCH("ベア加算",【参考】数式用!$B$4:$I$4,0)+1,0),0)*M186,0)*AG186,0)),"")</f>
        <v>0</v>
      </c>
      <c r="AN186" s="1502"/>
      <c r="AO186" s="1364"/>
      <c r="AP186" s="1403"/>
      <c r="AQ186" s="1403"/>
      <c r="AR186" s="1489"/>
      <c r="AS186" s="1491"/>
      <c r="AT186" s="556" t="str">
        <f t="shared" si="134"/>
        <v/>
      </c>
      <c r="AU186" s="651"/>
      <c r="AV186" s="1493" t="str">
        <f>IF(K186&lt;&gt;"","V列に色付け","")</f>
        <v/>
      </c>
      <c r="AW186" s="652" t="str">
        <f>IF('別紙様式2-2（４・５月分）'!O143="","",'別紙様式2-2（４・５月分）'!O143)</f>
        <v/>
      </c>
      <c r="AX186" s="1507" t="str">
        <f>IF(SUM('別紙様式2-2（４・５月分）'!P143:P145)=0,"",SUM('別紙様式2-2（４・５月分）'!P143:P145))</f>
        <v/>
      </c>
      <c r="AY186" s="1506" t="str">
        <f>IFERROR(VLOOKUP(K186,【参考】数式用!$AJ$2:$AK$24,2,FALSE),"")</f>
        <v/>
      </c>
      <c r="AZ186" s="1321" t="s">
        <v>2098</v>
      </c>
      <c r="BA186" s="1321" t="s">
        <v>2099</v>
      </c>
      <c r="BB186" s="1321" t="s">
        <v>2100</v>
      </c>
      <c r="BC186" s="1321" t="s">
        <v>2101</v>
      </c>
      <c r="BD186" s="1321" t="str">
        <f>IF(AND(P186&lt;&gt;"新加算Ⅰ",P186&lt;&gt;"新加算Ⅱ",P186&lt;&gt;"新加算Ⅲ",P186&lt;&gt;"新加算Ⅳ"),P186,IF(Q188&lt;&gt;"",Q188,""))</f>
        <v/>
      </c>
      <c r="BE186" s="1321"/>
      <c r="BF186" s="1321" t="str">
        <f t="shared" ref="BF186" si="177">IF(AM186&lt;&gt;0,IF(AN186="○","入力済","未入力"),"")</f>
        <v/>
      </c>
      <c r="BG186" s="1321"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321" t="str">
        <f>IF(OR(U186="新加算Ⅴ（７）",U186="新加算Ⅴ（９）",U186="新加算Ⅴ（10）",U186="新加算Ⅴ（12）",U186="新加算Ⅴ（13）",U186="新加算Ⅴ（14）"),IF(OR(AP186="○",AP186="令和６年度中に満たす"),"入力済","未入力"),"")</f>
        <v/>
      </c>
      <c r="BI186" s="1321" t="str">
        <f>IF(OR(U186="新加算Ⅰ",U186="新加算Ⅱ",U186="新加算Ⅲ",U186="新加算Ⅴ（１）",U186="新加算Ⅴ（３）",U186="新加算Ⅴ（８）"),IF(OR(AQ186="○",AQ186="令和６年度中に満たす"),"入力済","未入力"),"")</f>
        <v/>
      </c>
      <c r="BJ186" s="1512"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493" t="str">
        <f>IF(OR(U186="新加算Ⅰ",U186="新加算Ⅴ（１）",U186="新加算Ⅴ（２）",U186="新加算Ⅴ（５）",U186="新加算Ⅴ（７）",U186="新加算Ⅴ（10）"),IF(AS186="","未入力","入力済"),"")</f>
        <v/>
      </c>
      <c r="BL186" s="543" t="str">
        <f>G186</f>
        <v/>
      </c>
    </row>
    <row r="187" spans="1:64" ht="15" customHeight="1">
      <c r="A187" s="1226"/>
      <c r="B187" s="1272"/>
      <c r="C187" s="1261"/>
      <c r="D187" s="1261"/>
      <c r="E187" s="1261"/>
      <c r="F187" s="1262"/>
      <c r="G187" s="1266"/>
      <c r="H187" s="1266"/>
      <c r="I187" s="1266"/>
      <c r="J187" s="1372"/>
      <c r="K187" s="1266"/>
      <c r="L187" s="1247"/>
      <c r="M187" s="1374"/>
      <c r="N187" s="1370" t="str">
        <f>IF('別紙様式2-2（４・５月分）'!Q144="","",'別紙様式2-2（４・５月分）'!Q144)</f>
        <v/>
      </c>
      <c r="O187" s="1367"/>
      <c r="P187" s="1383"/>
      <c r="Q187" s="1384"/>
      <c r="R187" s="1385"/>
      <c r="S187" s="1393"/>
      <c r="T187" s="1414"/>
      <c r="U187" s="1416"/>
      <c r="V187" s="1458"/>
      <c r="W187" s="1351"/>
      <c r="X187" s="1353"/>
      <c r="Y187" s="1355"/>
      <c r="Z187" s="1353"/>
      <c r="AA187" s="1355"/>
      <c r="AB187" s="1353"/>
      <c r="AC187" s="1355"/>
      <c r="AD187" s="1353"/>
      <c r="AE187" s="1355"/>
      <c r="AF187" s="1355"/>
      <c r="AG187" s="1355"/>
      <c r="AH187" s="1361"/>
      <c r="AI187" s="1482"/>
      <c r="AJ187" s="1484"/>
      <c r="AK187" s="1486"/>
      <c r="AL187" s="1434"/>
      <c r="AM187" s="1488"/>
      <c r="AN187" s="1503"/>
      <c r="AO187" s="1365"/>
      <c r="AP187" s="1404"/>
      <c r="AQ187" s="1404"/>
      <c r="AR187" s="1490"/>
      <c r="AS187" s="1492"/>
      <c r="AT187" s="1331" t="str">
        <f t="shared" si="136"/>
        <v/>
      </c>
      <c r="AU187" s="651"/>
      <c r="AV187" s="1493"/>
      <c r="AW187" s="1518" t="str">
        <f>IF('別紙様式2-2（４・５月分）'!O144="","",'別紙様式2-2（４・５月分）'!O144)</f>
        <v/>
      </c>
      <c r="AX187" s="1507"/>
      <c r="AY187" s="1506"/>
      <c r="AZ187" s="1321"/>
      <c r="BA187" s="1321"/>
      <c r="BB187" s="1321"/>
      <c r="BC187" s="1321"/>
      <c r="BD187" s="1321"/>
      <c r="BE187" s="1321"/>
      <c r="BF187" s="1321"/>
      <c r="BG187" s="1321"/>
      <c r="BH187" s="1321"/>
      <c r="BI187" s="1321"/>
      <c r="BJ187" s="1512"/>
      <c r="BK187" s="1493"/>
      <c r="BL187" s="543" t="str">
        <f>G186</f>
        <v/>
      </c>
    </row>
    <row r="188" spans="1:64" ht="15" customHeight="1">
      <c r="A188" s="1240"/>
      <c r="B188" s="1272"/>
      <c r="C188" s="1261"/>
      <c r="D188" s="1261"/>
      <c r="E188" s="1261"/>
      <c r="F188" s="1262"/>
      <c r="G188" s="1266"/>
      <c r="H188" s="1266"/>
      <c r="I188" s="1266"/>
      <c r="J188" s="1372"/>
      <c r="K188" s="1266"/>
      <c r="L188" s="1247"/>
      <c r="M188" s="1374"/>
      <c r="N188" s="1371"/>
      <c r="O188" s="1368"/>
      <c r="P188" s="1390" t="s">
        <v>2179</v>
      </c>
      <c r="Q188" s="1386" t="str">
        <f>IFERROR(VLOOKUP('別紙様式2-2（４・５月分）'!AR143,【参考】数式用!$AT$5:$AV$22,3,FALSE),"")</f>
        <v/>
      </c>
      <c r="R188" s="1388" t="s">
        <v>2190</v>
      </c>
      <c r="S188" s="1394" t="str">
        <f>IFERROR(VLOOKUP(K186,【参考】数式用!$A$5:$AB$27,MATCH(Q188,【参考】数式用!$B$4:$AB$4,0)+1,0),"")</f>
        <v/>
      </c>
      <c r="T188" s="1459" t="s">
        <v>217</v>
      </c>
      <c r="U188" s="1461"/>
      <c r="V188" s="1463" t="str">
        <f>IFERROR(VLOOKUP(K186,【参考】数式用!$A$5:$AB$27,MATCH(U188,【参考】数式用!$B$4:$AB$4,0)+1,0),"")</f>
        <v/>
      </c>
      <c r="W188" s="1465" t="s">
        <v>19</v>
      </c>
      <c r="X188" s="1508">
        <v>7</v>
      </c>
      <c r="Y188" s="1407" t="s">
        <v>10</v>
      </c>
      <c r="Z188" s="1508">
        <v>4</v>
      </c>
      <c r="AA188" s="1407" t="s">
        <v>45</v>
      </c>
      <c r="AB188" s="1508">
        <v>8</v>
      </c>
      <c r="AC188" s="1407" t="s">
        <v>10</v>
      </c>
      <c r="AD188" s="1508">
        <v>3</v>
      </c>
      <c r="AE188" s="1407" t="s">
        <v>13</v>
      </c>
      <c r="AF188" s="1407" t="s">
        <v>24</v>
      </c>
      <c r="AG188" s="1407">
        <f>IF(X188&gt;=1,(AB188*12+AD188)-(X188*12+Z188)+1,"")</f>
        <v>12</v>
      </c>
      <c r="AH188" s="1409" t="s">
        <v>38</v>
      </c>
      <c r="AI188" s="1496" t="str">
        <f>IFERROR(ROUNDDOWN(ROUND(L186*V188,0)*M186,0)*AG188,"")</f>
        <v/>
      </c>
      <c r="AJ188" s="1510" t="str">
        <f>IFERROR(ROUNDDOWN(ROUND((L186*(V188-AX186)),0)*M186,0)*AG188,"")</f>
        <v/>
      </c>
      <c r="AK188" s="1494">
        <f>IFERROR(IF(OR(N186="",N187="",N189=""),0,ROUNDDOWN(ROUNDDOWN(ROUND(L186*VLOOKUP(K186,【参考】数式用!$A$5:$AB$27,MATCH("新加算Ⅳ",【参考】数式用!$B$4:$AB$4,0)+1,0),0)*M186,0)*AG188*0.5,0)),"")</f>
        <v>0</v>
      </c>
      <c r="AL188" s="1435" t="str">
        <f t="shared" ref="AL188" si="178">IF(U188&lt;&gt;"","新規に適用","")</f>
        <v/>
      </c>
      <c r="AM188" s="1498">
        <f>IFERROR(IF(OR(N189="ベア加算",N189=""),0, IF(OR(U186="新加算Ⅰ",U186="新加算Ⅱ",U186="新加算Ⅲ",U186="新加算Ⅳ"),0,ROUNDDOWN(ROUND(L186*VLOOKUP(K186,【参考】数式用!$A$5:$I$27,MATCH("ベア加算",【参考】数式用!$B$4:$I$4,0)+1,0),0)*M186,0)*AG188)),"")</f>
        <v>0</v>
      </c>
      <c r="AN188" s="1356" t="str">
        <f t="shared" ref="AN188" si="179">IF(AM188=0,"",IF(AND(U188&lt;&gt;"",AN186=""),"新規に適用",IF(AND(U188&lt;&gt;"",AN186&lt;&gt;""),"継続で適用","")))</f>
        <v/>
      </c>
      <c r="AO188" s="1356" t="str">
        <f>IF(AND(U188&lt;&gt;"",AO186=""),"新規に適用",IF(AND(U188&lt;&gt;"",AO186&lt;&gt;""),"継続で適用",""))</f>
        <v/>
      </c>
      <c r="AP188" s="1358"/>
      <c r="AQ188" s="1356" t="str">
        <f>IF(AND(U188&lt;&gt;"",AQ186=""),"新規に適用",IF(AND(U188&lt;&gt;"",AQ186&lt;&gt;""),"継続で適用",""))</f>
        <v/>
      </c>
      <c r="AR188" s="1344" t="str">
        <f t="shared" si="159"/>
        <v/>
      </c>
      <c r="AS188" s="1356" t="str">
        <f>IF(AND(U188&lt;&gt;"",AS186=""),"新規に適用",IF(AND(U188&lt;&gt;"",AS186&lt;&gt;""),"継続で適用",""))</f>
        <v/>
      </c>
      <c r="AT188" s="1331"/>
      <c r="AU188" s="651"/>
      <c r="AV188" s="1493" t="str">
        <f>IF(K186&lt;&gt;"","V列に色付け","")</f>
        <v/>
      </c>
      <c r="AW188" s="1518"/>
      <c r="AX188" s="1507"/>
      <c r="AY188" s="163"/>
      <c r="AZ188" s="163"/>
      <c r="BA188" s="163"/>
      <c r="BB188" s="163"/>
      <c r="BC188" s="163"/>
      <c r="BD188" s="163"/>
      <c r="BE188" s="163"/>
      <c r="BF188" s="163"/>
      <c r="BG188" s="163"/>
      <c r="BH188" s="163"/>
      <c r="BI188" s="163"/>
      <c r="BJ188" s="163"/>
      <c r="BK188" s="163"/>
      <c r="BL188" s="543" t="str">
        <f>G186</f>
        <v/>
      </c>
    </row>
    <row r="189" spans="1:64" ht="30" customHeight="1" thickBot="1">
      <c r="A189" s="1227"/>
      <c r="B189" s="1376"/>
      <c r="C189" s="1377"/>
      <c r="D189" s="1377"/>
      <c r="E189" s="1377"/>
      <c r="F189" s="1378"/>
      <c r="G189" s="1267"/>
      <c r="H189" s="1267"/>
      <c r="I189" s="1267"/>
      <c r="J189" s="1373"/>
      <c r="K189" s="1267"/>
      <c r="L189" s="1248"/>
      <c r="M189" s="1375"/>
      <c r="N189" s="650" t="str">
        <f>IF('別紙様式2-2（４・５月分）'!Q145="","",'別紙様式2-2（４・５月分）'!Q145)</f>
        <v/>
      </c>
      <c r="O189" s="1369"/>
      <c r="P189" s="1391"/>
      <c r="Q189" s="1387"/>
      <c r="R189" s="1389"/>
      <c r="S189" s="1395"/>
      <c r="T189" s="1460"/>
      <c r="U189" s="1462"/>
      <c r="V189" s="1464"/>
      <c r="W189" s="1466"/>
      <c r="X189" s="1509"/>
      <c r="Y189" s="1408"/>
      <c r="Z189" s="1509"/>
      <c r="AA189" s="1408"/>
      <c r="AB189" s="1509"/>
      <c r="AC189" s="1408"/>
      <c r="AD189" s="1509"/>
      <c r="AE189" s="1408"/>
      <c r="AF189" s="1408"/>
      <c r="AG189" s="1408"/>
      <c r="AH189" s="1410"/>
      <c r="AI189" s="1497"/>
      <c r="AJ189" s="1511"/>
      <c r="AK189" s="1495"/>
      <c r="AL189" s="1436"/>
      <c r="AM189" s="1499"/>
      <c r="AN189" s="1357"/>
      <c r="AO189" s="1357"/>
      <c r="AP189" s="1359"/>
      <c r="AQ189" s="1357"/>
      <c r="AR189" s="1345"/>
      <c r="AS189" s="1357"/>
      <c r="AT189" s="581" t="str">
        <f t="shared" ref="AT189" si="180">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51"/>
      <c r="AV189" s="1493"/>
      <c r="AW189" s="652" t="str">
        <f>IF('別紙様式2-2（４・５月分）'!O145="","",'別紙様式2-2（４・５月分）'!O145)</f>
        <v/>
      </c>
      <c r="AX189" s="1507"/>
      <c r="AY189" s="163"/>
      <c r="AZ189" s="163"/>
      <c r="BA189" s="163"/>
      <c r="BB189" s="163"/>
      <c r="BC189" s="163"/>
      <c r="BD189" s="163"/>
      <c r="BE189" s="163"/>
      <c r="BF189" s="163"/>
      <c r="BG189" s="163"/>
      <c r="BH189" s="163"/>
      <c r="BI189" s="163"/>
      <c r="BJ189" s="163"/>
      <c r="BK189" s="163"/>
      <c r="BL189" s="543" t="str">
        <f>G186</f>
        <v/>
      </c>
    </row>
    <row r="190" spans="1:64" ht="30" customHeight="1">
      <c r="A190" s="1225">
        <v>45</v>
      </c>
      <c r="B190" s="1271" t="str">
        <f>IF(基本情報入力シート!C98="","",基本情報入力シート!C98)</f>
        <v/>
      </c>
      <c r="C190" s="1259"/>
      <c r="D190" s="1259"/>
      <c r="E190" s="1259"/>
      <c r="F190" s="1260"/>
      <c r="G190" s="1265" t="str">
        <f>IF(基本情報入力シート!M98="","",基本情報入力シート!M98)</f>
        <v/>
      </c>
      <c r="H190" s="1265" t="str">
        <f>IF(基本情報入力シート!R98="","",基本情報入力シート!R98)</f>
        <v/>
      </c>
      <c r="I190" s="1265" t="str">
        <f>IF(基本情報入力シート!W98="","",基本情報入力シート!W98)</f>
        <v/>
      </c>
      <c r="J190" s="1379" t="str">
        <f>IF(基本情報入力シート!X98="","",基本情報入力シート!X98)</f>
        <v/>
      </c>
      <c r="K190" s="1265" t="str">
        <f>IF(基本情報入力シート!Y98="","",基本情報入力シート!Y98)</f>
        <v/>
      </c>
      <c r="L190" s="1246" t="str">
        <f>IF(基本情報入力シート!AB98="","",基本情報入力シート!AB98)</f>
        <v/>
      </c>
      <c r="M190" s="1249" t="str">
        <f>IF(基本情報入力シート!AC98="","",基本情報入力シート!AC98)</f>
        <v/>
      </c>
      <c r="N190" s="647" t="str">
        <f>IF('別紙様式2-2（４・５月分）'!Q146="","",'別紙様式2-2（４・５月分）'!Q146)</f>
        <v/>
      </c>
      <c r="O190" s="1366" t="str">
        <f>IF(SUM('別紙様式2-2（４・５月分）'!R146:R148)=0,"",SUM('別紙様式2-2（４・５月分）'!R146:R148))</f>
        <v/>
      </c>
      <c r="P190" s="1380" t="str">
        <f>IFERROR(VLOOKUP('別紙様式2-2（４・５月分）'!AR146,【参考】数式用!$AT$5:$AU$22,2,FALSE),"")</f>
        <v/>
      </c>
      <c r="Q190" s="1381"/>
      <c r="R190" s="1382"/>
      <c r="S190" s="1392" t="str">
        <f>IFERROR(VLOOKUP(K190,【参考】数式用!$A$5:$AB$27,MATCH(P190,【参考】数式用!$B$4:$AB$4,0)+1,0),"")</f>
        <v/>
      </c>
      <c r="T190" s="1413" t="s">
        <v>2173</v>
      </c>
      <c r="U190" s="1415"/>
      <c r="V190" s="1457" t="str">
        <f>IFERROR(VLOOKUP(K190,【参考】数式用!$A$5:$AB$27,MATCH(U190,【参考】数式用!$B$4:$AB$4,0)+1,0),"")</f>
        <v/>
      </c>
      <c r="W190" s="1350" t="s">
        <v>19</v>
      </c>
      <c r="X190" s="1352">
        <v>6</v>
      </c>
      <c r="Y190" s="1354" t="s">
        <v>10</v>
      </c>
      <c r="Z190" s="1352">
        <v>6</v>
      </c>
      <c r="AA190" s="1354" t="s">
        <v>45</v>
      </c>
      <c r="AB190" s="1352">
        <v>7</v>
      </c>
      <c r="AC190" s="1354" t="s">
        <v>10</v>
      </c>
      <c r="AD190" s="1352">
        <v>3</v>
      </c>
      <c r="AE190" s="1354" t="s">
        <v>13</v>
      </c>
      <c r="AF190" s="1354" t="s">
        <v>24</v>
      </c>
      <c r="AG190" s="1354">
        <f>IF(X190&gt;=1,(AB190*12+AD190)-(X190*12+Z190)+1,"")</f>
        <v>10</v>
      </c>
      <c r="AH190" s="1360" t="s">
        <v>38</v>
      </c>
      <c r="AI190" s="1481" t="str">
        <f>IFERROR(ROUNDDOWN(ROUND(L190*V190,0)*M190,0)*AG190,"")</f>
        <v/>
      </c>
      <c r="AJ190" s="1483" t="str">
        <f>IFERROR(ROUNDDOWN(ROUND((L190*(V190-AX190)),0)*M190,0)*AG190,"")</f>
        <v/>
      </c>
      <c r="AK190" s="1485">
        <f>IFERROR(IF(OR(N190="",N191="",N193=""),0,ROUNDDOWN(ROUNDDOWN(ROUND(L190*VLOOKUP(K190,【参考】数式用!$A$5:$AB$27,MATCH("新加算Ⅳ",【参考】数式用!$B$4:$AB$4,0)+1,0),0)*M190,0)*AG190*0.5,0)),"")</f>
        <v>0</v>
      </c>
      <c r="AL190" s="1433"/>
      <c r="AM190" s="1487">
        <f>IFERROR(IF(OR(N193="ベア加算",N193=""),0, IF(OR(U190="新加算Ⅰ",U190="新加算Ⅱ",U190="新加算Ⅲ",U190="新加算Ⅳ"),ROUNDDOWN(ROUND(L190*VLOOKUP(K190,【参考】数式用!$A$5:$I$27,MATCH("ベア加算",【参考】数式用!$B$4:$I$4,0)+1,0),0)*M190,0)*AG190,0)),"")</f>
        <v>0</v>
      </c>
      <c r="AN190" s="1502"/>
      <c r="AO190" s="1364"/>
      <c r="AP190" s="1403"/>
      <c r="AQ190" s="1403"/>
      <c r="AR190" s="1489"/>
      <c r="AS190" s="1491"/>
      <c r="AT190" s="556" t="str">
        <f t="shared" si="134"/>
        <v/>
      </c>
      <c r="AU190" s="651"/>
      <c r="AV190" s="1493" t="str">
        <f>IF(K190&lt;&gt;"","V列に色付け","")</f>
        <v/>
      </c>
      <c r="AW190" s="652" t="str">
        <f>IF('別紙様式2-2（４・５月分）'!O146="","",'別紙様式2-2（４・５月分）'!O146)</f>
        <v/>
      </c>
      <c r="AX190" s="1507" t="str">
        <f>IF(SUM('別紙様式2-2（４・５月分）'!P146:P148)=0,"",SUM('別紙様式2-2（４・５月分）'!P146:P148))</f>
        <v/>
      </c>
      <c r="AY190" s="1506" t="str">
        <f>IFERROR(VLOOKUP(K190,【参考】数式用!$AJ$2:$AK$24,2,FALSE),"")</f>
        <v/>
      </c>
      <c r="AZ190" s="1321" t="s">
        <v>2098</v>
      </c>
      <c r="BA190" s="1321" t="s">
        <v>2099</v>
      </c>
      <c r="BB190" s="1321" t="s">
        <v>2100</v>
      </c>
      <c r="BC190" s="1321" t="s">
        <v>2101</v>
      </c>
      <c r="BD190" s="1321" t="str">
        <f>IF(AND(P190&lt;&gt;"新加算Ⅰ",P190&lt;&gt;"新加算Ⅱ",P190&lt;&gt;"新加算Ⅲ",P190&lt;&gt;"新加算Ⅳ"),P190,IF(Q192&lt;&gt;"",Q192,""))</f>
        <v/>
      </c>
      <c r="BE190" s="1321"/>
      <c r="BF190" s="1321" t="str">
        <f t="shared" ref="BF190" si="181">IF(AM190&lt;&gt;0,IF(AN190="○","入力済","未入力"),"")</f>
        <v/>
      </c>
      <c r="BG190" s="1321"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321" t="str">
        <f>IF(OR(U190="新加算Ⅴ（７）",U190="新加算Ⅴ（９）",U190="新加算Ⅴ（10）",U190="新加算Ⅴ（12）",U190="新加算Ⅴ（13）",U190="新加算Ⅴ（14）"),IF(OR(AP190="○",AP190="令和６年度中に満たす"),"入力済","未入力"),"")</f>
        <v/>
      </c>
      <c r="BI190" s="1321" t="str">
        <f>IF(OR(U190="新加算Ⅰ",U190="新加算Ⅱ",U190="新加算Ⅲ",U190="新加算Ⅴ（１）",U190="新加算Ⅴ（３）",U190="新加算Ⅴ（８）"),IF(OR(AQ190="○",AQ190="令和６年度中に満たす"),"入力済","未入力"),"")</f>
        <v/>
      </c>
      <c r="BJ190" s="1512"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493" t="str">
        <f>IF(OR(U190="新加算Ⅰ",U190="新加算Ⅴ（１）",U190="新加算Ⅴ（２）",U190="新加算Ⅴ（５）",U190="新加算Ⅴ（７）",U190="新加算Ⅴ（10）"),IF(AS190="","未入力","入力済"),"")</f>
        <v/>
      </c>
      <c r="BL190" s="543" t="str">
        <f>G190</f>
        <v/>
      </c>
    </row>
    <row r="191" spans="1:64" ht="15" customHeight="1">
      <c r="A191" s="1226"/>
      <c r="B191" s="1272"/>
      <c r="C191" s="1261"/>
      <c r="D191" s="1261"/>
      <c r="E191" s="1261"/>
      <c r="F191" s="1262"/>
      <c r="G191" s="1266"/>
      <c r="H191" s="1266"/>
      <c r="I191" s="1266"/>
      <c r="J191" s="1372"/>
      <c r="K191" s="1266"/>
      <c r="L191" s="1247"/>
      <c r="M191" s="1250"/>
      <c r="N191" s="1370" t="str">
        <f>IF('別紙様式2-2（４・５月分）'!Q147="","",'別紙様式2-2（４・５月分）'!Q147)</f>
        <v/>
      </c>
      <c r="O191" s="1367"/>
      <c r="P191" s="1383"/>
      <c r="Q191" s="1384"/>
      <c r="R191" s="1385"/>
      <c r="S191" s="1393"/>
      <c r="T191" s="1414"/>
      <c r="U191" s="1416"/>
      <c r="V191" s="1458"/>
      <c r="W191" s="1351"/>
      <c r="X191" s="1353"/>
      <c r="Y191" s="1355"/>
      <c r="Z191" s="1353"/>
      <c r="AA191" s="1355"/>
      <c r="AB191" s="1353"/>
      <c r="AC191" s="1355"/>
      <c r="AD191" s="1353"/>
      <c r="AE191" s="1355"/>
      <c r="AF191" s="1355"/>
      <c r="AG191" s="1355"/>
      <c r="AH191" s="1361"/>
      <c r="AI191" s="1482"/>
      <c r="AJ191" s="1484"/>
      <c r="AK191" s="1486"/>
      <c r="AL191" s="1434"/>
      <c r="AM191" s="1488"/>
      <c r="AN191" s="1503"/>
      <c r="AO191" s="1365"/>
      <c r="AP191" s="1404"/>
      <c r="AQ191" s="1404"/>
      <c r="AR191" s="1490"/>
      <c r="AS191" s="1492"/>
      <c r="AT191" s="1331" t="str">
        <f t="shared" si="136"/>
        <v/>
      </c>
      <c r="AU191" s="651"/>
      <c r="AV191" s="1493"/>
      <c r="AW191" s="1518" t="str">
        <f>IF('別紙様式2-2（４・５月分）'!O147="","",'別紙様式2-2（４・５月分）'!O147)</f>
        <v/>
      </c>
      <c r="AX191" s="1507"/>
      <c r="AY191" s="1506"/>
      <c r="AZ191" s="1321"/>
      <c r="BA191" s="1321"/>
      <c r="BB191" s="1321"/>
      <c r="BC191" s="1321"/>
      <c r="BD191" s="1321"/>
      <c r="BE191" s="1321"/>
      <c r="BF191" s="1321"/>
      <c r="BG191" s="1321"/>
      <c r="BH191" s="1321"/>
      <c r="BI191" s="1321"/>
      <c r="BJ191" s="1512"/>
      <c r="BK191" s="1493"/>
      <c r="BL191" s="543" t="str">
        <f>G190</f>
        <v/>
      </c>
    </row>
    <row r="192" spans="1:64" ht="15" customHeight="1">
      <c r="A192" s="1240"/>
      <c r="B192" s="1272"/>
      <c r="C192" s="1261"/>
      <c r="D192" s="1261"/>
      <c r="E192" s="1261"/>
      <c r="F192" s="1262"/>
      <c r="G192" s="1266"/>
      <c r="H192" s="1266"/>
      <c r="I192" s="1266"/>
      <c r="J192" s="1372"/>
      <c r="K192" s="1266"/>
      <c r="L192" s="1247"/>
      <c r="M192" s="1250"/>
      <c r="N192" s="1371"/>
      <c r="O192" s="1368"/>
      <c r="P192" s="1390" t="s">
        <v>2179</v>
      </c>
      <c r="Q192" s="1386" t="str">
        <f>IFERROR(VLOOKUP('別紙様式2-2（４・５月分）'!AR146,【参考】数式用!$AT$5:$AV$22,3,FALSE),"")</f>
        <v/>
      </c>
      <c r="R192" s="1388" t="s">
        <v>2190</v>
      </c>
      <c r="S192" s="1396" t="str">
        <f>IFERROR(VLOOKUP(K190,【参考】数式用!$A$5:$AB$27,MATCH(Q192,【参考】数式用!$B$4:$AB$4,0)+1,0),"")</f>
        <v/>
      </c>
      <c r="T192" s="1459" t="s">
        <v>217</v>
      </c>
      <c r="U192" s="1461"/>
      <c r="V192" s="1463" t="str">
        <f>IFERROR(VLOOKUP(K190,【参考】数式用!$A$5:$AB$27,MATCH(U192,【参考】数式用!$B$4:$AB$4,0)+1,0),"")</f>
        <v/>
      </c>
      <c r="W192" s="1465" t="s">
        <v>19</v>
      </c>
      <c r="X192" s="1508">
        <v>7</v>
      </c>
      <c r="Y192" s="1407" t="s">
        <v>10</v>
      </c>
      <c r="Z192" s="1508">
        <v>4</v>
      </c>
      <c r="AA192" s="1407" t="s">
        <v>45</v>
      </c>
      <c r="AB192" s="1508">
        <v>8</v>
      </c>
      <c r="AC192" s="1407" t="s">
        <v>10</v>
      </c>
      <c r="AD192" s="1508">
        <v>3</v>
      </c>
      <c r="AE192" s="1407" t="s">
        <v>13</v>
      </c>
      <c r="AF192" s="1407" t="s">
        <v>24</v>
      </c>
      <c r="AG192" s="1407">
        <f>IF(X192&gt;=1,(AB192*12+AD192)-(X192*12+Z192)+1,"")</f>
        <v>12</v>
      </c>
      <c r="AH192" s="1409" t="s">
        <v>38</v>
      </c>
      <c r="AI192" s="1496" t="str">
        <f>IFERROR(ROUNDDOWN(ROUND(L190*V192,0)*M190,0)*AG192,"")</f>
        <v/>
      </c>
      <c r="AJ192" s="1510" t="str">
        <f>IFERROR(ROUNDDOWN(ROUND((L190*(V192-AX190)),0)*M190,0)*AG192,"")</f>
        <v/>
      </c>
      <c r="AK192" s="1494">
        <f>IFERROR(IF(OR(N190="",N191="",N193=""),0,ROUNDDOWN(ROUNDDOWN(ROUND(L190*VLOOKUP(K190,【参考】数式用!$A$5:$AB$27,MATCH("新加算Ⅳ",【参考】数式用!$B$4:$AB$4,0)+1,0),0)*M190,0)*AG192*0.5,0)),"")</f>
        <v>0</v>
      </c>
      <c r="AL192" s="1435" t="str">
        <f t="shared" ref="AL192" si="182">IF(U192&lt;&gt;"","新規に適用","")</f>
        <v/>
      </c>
      <c r="AM192" s="1498">
        <f>IFERROR(IF(OR(N193="ベア加算",N193=""),0, IF(OR(U190="新加算Ⅰ",U190="新加算Ⅱ",U190="新加算Ⅲ",U190="新加算Ⅳ"),0,ROUNDDOWN(ROUND(L190*VLOOKUP(K190,【参考】数式用!$A$5:$I$27,MATCH("ベア加算",【参考】数式用!$B$4:$I$4,0)+1,0),0)*M190,0)*AG192)),"")</f>
        <v>0</v>
      </c>
      <c r="AN192" s="1356" t="str">
        <f t="shared" ref="AN192" si="183">IF(AM192=0,"",IF(AND(U192&lt;&gt;"",AN190=""),"新規に適用",IF(AND(U192&lt;&gt;"",AN190&lt;&gt;""),"継続で適用","")))</f>
        <v/>
      </c>
      <c r="AO192" s="1356" t="str">
        <f>IF(AND(U192&lt;&gt;"",AO190=""),"新規に適用",IF(AND(U192&lt;&gt;"",AO190&lt;&gt;""),"継続で適用",""))</f>
        <v/>
      </c>
      <c r="AP192" s="1358"/>
      <c r="AQ192" s="1356" t="str">
        <f>IF(AND(U192&lt;&gt;"",AQ190=""),"新規に適用",IF(AND(U192&lt;&gt;"",AQ190&lt;&gt;""),"継続で適用",""))</f>
        <v/>
      </c>
      <c r="AR192" s="1344" t="str">
        <f t="shared" si="159"/>
        <v/>
      </c>
      <c r="AS192" s="1356" t="str">
        <f>IF(AND(U192&lt;&gt;"",AS190=""),"新規に適用",IF(AND(U192&lt;&gt;"",AS190&lt;&gt;""),"継続で適用",""))</f>
        <v/>
      </c>
      <c r="AT192" s="1331"/>
      <c r="AU192" s="651"/>
      <c r="AV192" s="1493" t="str">
        <f>IF(K190&lt;&gt;"","V列に色付け","")</f>
        <v/>
      </c>
      <c r="AW192" s="1518"/>
      <c r="AX192" s="1507"/>
      <c r="AY192" s="163"/>
      <c r="AZ192" s="163"/>
      <c r="BA192" s="163"/>
      <c r="BB192" s="163"/>
      <c r="BC192" s="163"/>
      <c r="BD192" s="163"/>
      <c r="BE192" s="163"/>
      <c r="BF192" s="163"/>
      <c r="BG192" s="163"/>
      <c r="BH192" s="163"/>
      <c r="BI192" s="163"/>
      <c r="BJ192" s="163"/>
      <c r="BK192" s="163"/>
      <c r="BL192" s="543" t="str">
        <f>G190</f>
        <v/>
      </c>
    </row>
    <row r="193" spans="1:64" ht="30" customHeight="1" thickBot="1">
      <c r="A193" s="1227"/>
      <c r="B193" s="1376"/>
      <c r="C193" s="1377"/>
      <c r="D193" s="1377"/>
      <c r="E193" s="1377"/>
      <c r="F193" s="1378"/>
      <c r="G193" s="1267"/>
      <c r="H193" s="1267"/>
      <c r="I193" s="1267"/>
      <c r="J193" s="1373"/>
      <c r="K193" s="1267"/>
      <c r="L193" s="1248"/>
      <c r="M193" s="1251"/>
      <c r="N193" s="650" t="str">
        <f>IF('別紙様式2-2（４・５月分）'!Q148="","",'別紙様式2-2（４・５月分）'!Q148)</f>
        <v/>
      </c>
      <c r="O193" s="1369"/>
      <c r="P193" s="1391"/>
      <c r="Q193" s="1387"/>
      <c r="R193" s="1389"/>
      <c r="S193" s="1395"/>
      <c r="T193" s="1460"/>
      <c r="U193" s="1462"/>
      <c r="V193" s="1464"/>
      <c r="W193" s="1466"/>
      <c r="X193" s="1509"/>
      <c r="Y193" s="1408"/>
      <c r="Z193" s="1509"/>
      <c r="AA193" s="1408"/>
      <c r="AB193" s="1509"/>
      <c r="AC193" s="1408"/>
      <c r="AD193" s="1509"/>
      <c r="AE193" s="1408"/>
      <c r="AF193" s="1408"/>
      <c r="AG193" s="1408"/>
      <c r="AH193" s="1410"/>
      <c r="AI193" s="1497"/>
      <c r="AJ193" s="1511"/>
      <c r="AK193" s="1495"/>
      <c r="AL193" s="1436"/>
      <c r="AM193" s="1499"/>
      <c r="AN193" s="1357"/>
      <c r="AO193" s="1357"/>
      <c r="AP193" s="1359"/>
      <c r="AQ193" s="1357"/>
      <c r="AR193" s="1345"/>
      <c r="AS193" s="1357"/>
      <c r="AT193" s="581" t="str">
        <f t="shared" ref="AT193" si="184">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51"/>
      <c r="AV193" s="1493"/>
      <c r="AW193" s="652" t="str">
        <f>IF('別紙様式2-2（４・５月分）'!O148="","",'別紙様式2-2（４・５月分）'!O148)</f>
        <v/>
      </c>
      <c r="AX193" s="1507"/>
      <c r="AY193" s="163"/>
      <c r="AZ193" s="163"/>
      <c r="BA193" s="163"/>
      <c r="BB193" s="163"/>
      <c r="BC193" s="163"/>
      <c r="BD193" s="163"/>
      <c r="BE193" s="163"/>
      <c r="BF193" s="163"/>
      <c r="BG193" s="163"/>
      <c r="BH193" s="163"/>
      <c r="BI193" s="163"/>
      <c r="BJ193" s="163"/>
      <c r="BK193" s="163"/>
      <c r="BL193" s="543" t="str">
        <f>G190</f>
        <v/>
      </c>
    </row>
    <row r="194" spans="1:64" ht="30" customHeight="1">
      <c r="A194" s="1241">
        <v>46</v>
      </c>
      <c r="B194" s="1272" t="str">
        <f>IF(基本情報入力シート!C99="","",基本情報入力シート!C99)</f>
        <v/>
      </c>
      <c r="C194" s="1261"/>
      <c r="D194" s="1261"/>
      <c r="E194" s="1261"/>
      <c r="F194" s="1262"/>
      <c r="G194" s="1266" t="str">
        <f>IF(基本情報入力シート!M99="","",基本情報入力シート!M99)</f>
        <v/>
      </c>
      <c r="H194" s="1266" t="str">
        <f>IF(基本情報入力シート!R99="","",基本情報入力シート!R99)</f>
        <v/>
      </c>
      <c r="I194" s="1266" t="str">
        <f>IF(基本情報入力シート!W99="","",基本情報入力シート!W99)</f>
        <v/>
      </c>
      <c r="J194" s="1372" t="str">
        <f>IF(基本情報入力シート!X99="","",基本情報入力シート!X99)</f>
        <v/>
      </c>
      <c r="K194" s="1266" t="str">
        <f>IF(基本情報入力シート!Y99="","",基本情報入力シート!Y99)</f>
        <v/>
      </c>
      <c r="L194" s="1247" t="str">
        <f>IF(基本情報入力シート!AB99="","",基本情報入力シート!AB99)</f>
        <v/>
      </c>
      <c r="M194" s="1374" t="str">
        <f>IF(基本情報入力シート!AC99="","",基本情報入力シート!AC99)</f>
        <v/>
      </c>
      <c r="N194" s="647" t="str">
        <f>IF('別紙様式2-2（４・５月分）'!Q149="","",'別紙様式2-2（４・５月分）'!Q149)</f>
        <v/>
      </c>
      <c r="O194" s="1366" t="str">
        <f>IF(SUM('別紙様式2-2（４・５月分）'!R149:R151)=0,"",SUM('別紙様式2-2（４・５月分）'!R149:R151))</f>
        <v/>
      </c>
      <c r="P194" s="1380" t="str">
        <f>IFERROR(VLOOKUP('別紙様式2-2（４・５月分）'!AR149,【参考】数式用!$AT$5:$AU$22,2,FALSE),"")</f>
        <v/>
      </c>
      <c r="Q194" s="1381"/>
      <c r="R194" s="1382"/>
      <c r="S194" s="1392" t="str">
        <f>IFERROR(VLOOKUP(K194,【参考】数式用!$A$5:$AB$27,MATCH(P194,【参考】数式用!$B$4:$AB$4,0)+1,0),"")</f>
        <v/>
      </c>
      <c r="T194" s="1413" t="s">
        <v>2173</v>
      </c>
      <c r="U194" s="1415"/>
      <c r="V194" s="1457" t="str">
        <f>IFERROR(VLOOKUP(K194,【参考】数式用!$A$5:$AB$27,MATCH(U194,【参考】数式用!$B$4:$AB$4,0)+1,0),"")</f>
        <v/>
      </c>
      <c r="W194" s="1350" t="s">
        <v>19</v>
      </c>
      <c r="X194" s="1352">
        <v>6</v>
      </c>
      <c r="Y194" s="1354" t="s">
        <v>10</v>
      </c>
      <c r="Z194" s="1352">
        <v>6</v>
      </c>
      <c r="AA194" s="1354" t="s">
        <v>45</v>
      </c>
      <c r="AB194" s="1352">
        <v>7</v>
      </c>
      <c r="AC194" s="1354" t="s">
        <v>10</v>
      </c>
      <c r="AD194" s="1352">
        <v>3</v>
      </c>
      <c r="AE194" s="1354" t="s">
        <v>13</v>
      </c>
      <c r="AF194" s="1354" t="s">
        <v>24</v>
      </c>
      <c r="AG194" s="1354">
        <f>IF(X194&gt;=1,(AB194*12+AD194)-(X194*12+Z194)+1,"")</f>
        <v>10</v>
      </c>
      <c r="AH194" s="1360" t="s">
        <v>38</v>
      </c>
      <c r="AI194" s="1481" t="str">
        <f>IFERROR(ROUNDDOWN(ROUND(L194*V194,0)*M194,0)*AG194,"")</f>
        <v/>
      </c>
      <c r="AJ194" s="1483" t="str">
        <f>IFERROR(ROUNDDOWN(ROUND((L194*(V194-AX194)),0)*M194,0)*AG194,"")</f>
        <v/>
      </c>
      <c r="AK194" s="1485">
        <f>IFERROR(IF(OR(N194="",N195="",N197=""),0,ROUNDDOWN(ROUNDDOWN(ROUND(L194*VLOOKUP(K194,【参考】数式用!$A$5:$AB$27,MATCH("新加算Ⅳ",【参考】数式用!$B$4:$AB$4,0)+1,0),0)*M194,0)*AG194*0.5,0)),"")</f>
        <v>0</v>
      </c>
      <c r="AL194" s="1433"/>
      <c r="AM194" s="1487">
        <f>IFERROR(IF(OR(N197="ベア加算",N197=""),0, IF(OR(U194="新加算Ⅰ",U194="新加算Ⅱ",U194="新加算Ⅲ",U194="新加算Ⅳ"),ROUNDDOWN(ROUND(L194*VLOOKUP(K194,【参考】数式用!$A$5:$I$27,MATCH("ベア加算",【参考】数式用!$B$4:$I$4,0)+1,0),0)*M194,0)*AG194,0)),"")</f>
        <v>0</v>
      </c>
      <c r="AN194" s="1502"/>
      <c r="AO194" s="1364"/>
      <c r="AP194" s="1403"/>
      <c r="AQ194" s="1403"/>
      <c r="AR194" s="1489"/>
      <c r="AS194" s="1491"/>
      <c r="AT194" s="556" t="str">
        <f t="shared" si="134"/>
        <v/>
      </c>
      <c r="AU194" s="651"/>
      <c r="AV194" s="1493" t="str">
        <f>IF(K194&lt;&gt;"","V列に色付け","")</f>
        <v/>
      </c>
      <c r="AW194" s="652" t="str">
        <f>IF('別紙様式2-2（４・５月分）'!O149="","",'別紙様式2-2（４・５月分）'!O149)</f>
        <v/>
      </c>
      <c r="AX194" s="1507" t="str">
        <f>IF(SUM('別紙様式2-2（４・５月分）'!P149:P151)=0,"",SUM('別紙様式2-2（４・５月分）'!P149:P151))</f>
        <v/>
      </c>
      <c r="AY194" s="1506" t="str">
        <f>IFERROR(VLOOKUP(K194,【参考】数式用!$AJ$2:$AK$24,2,FALSE),"")</f>
        <v/>
      </c>
      <c r="AZ194" s="1321" t="s">
        <v>2098</v>
      </c>
      <c r="BA194" s="1321" t="s">
        <v>2099</v>
      </c>
      <c r="BB194" s="1321" t="s">
        <v>2100</v>
      </c>
      <c r="BC194" s="1321" t="s">
        <v>2101</v>
      </c>
      <c r="BD194" s="1321" t="str">
        <f>IF(AND(P194&lt;&gt;"新加算Ⅰ",P194&lt;&gt;"新加算Ⅱ",P194&lt;&gt;"新加算Ⅲ",P194&lt;&gt;"新加算Ⅳ"),P194,IF(Q196&lt;&gt;"",Q196,""))</f>
        <v/>
      </c>
      <c r="BE194" s="1321"/>
      <c r="BF194" s="1321" t="str">
        <f t="shared" ref="BF194" si="185">IF(AM194&lt;&gt;0,IF(AN194="○","入力済","未入力"),"")</f>
        <v/>
      </c>
      <c r="BG194" s="1321"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321" t="str">
        <f>IF(OR(U194="新加算Ⅴ（７）",U194="新加算Ⅴ（９）",U194="新加算Ⅴ（10）",U194="新加算Ⅴ（12）",U194="新加算Ⅴ（13）",U194="新加算Ⅴ（14）"),IF(OR(AP194="○",AP194="令和６年度中に満たす"),"入力済","未入力"),"")</f>
        <v/>
      </c>
      <c r="BI194" s="1321" t="str">
        <f>IF(OR(U194="新加算Ⅰ",U194="新加算Ⅱ",U194="新加算Ⅲ",U194="新加算Ⅴ（１）",U194="新加算Ⅴ（３）",U194="新加算Ⅴ（８）"),IF(OR(AQ194="○",AQ194="令和６年度中に満たす"),"入力済","未入力"),"")</f>
        <v/>
      </c>
      <c r="BJ194" s="1512"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493" t="str">
        <f>IF(OR(U194="新加算Ⅰ",U194="新加算Ⅴ（１）",U194="新加算Ⅴ（２）",U194="新加算Ⅴ（５）",U194="新加算Ⅴ（７）",U194="新加算Ⅴ（10）"),IF(AS194="","未入力","入力済"),"")</f>
        <v/>
      </c>
      <c r="BL194" s="543" t="str">
        <f>G194</f>
        <v/>
      </c>
    </row>
    <row r="195" spans="1:64" ht="15" customHeight="1">
      <c r="A195" s="1226"/>
      <c r="B195" s="1272"/>
      <c r="C195" s="1261"/>
      <c r="D195" s="1261"/>
      <c r="E195" s="1261"/>
      <c r="F195" s="1262"/>
      <c r="G195" s="1266"/>
      <c r="H195" s="1266"/>
      <c r="I195" s="1266"/>
      <c r="J195" s="1372"/>
      <c r="K195" s="1266"/>
      <c r="L195" s="1247"/>
      <c r="M195" s="1374"/>
      <c r="N195" s="1370" t="str">
        <f>IF('別紙様式2-2（４・５月分）'!Q150="","",'別紙様式2-2（４・５月分）'!Q150)</f>
        <v/>
      </c>
      <c r="O195" s="1367"/>
      <c r="P195" s="1383"/>
      <c r="Q195" s="1384"/>
      <c r="R195" s="1385"/>
      <c r="S195" s="1393"/>
      <c r="T195" s="1414"/>
      <c r="U195" s="1416"/>
      <c r="V195" s="1458"/>
      <c r="W195" s="1351"/>
      <c r="X195" s="1353"/>
      <c r="Y195" s="1355"/>
      <c r="Z195" s="1353"/>
      <c r="AA195" s="1355"/>
      <c r="AB195" s="1353"/>
      <c r="AC195" s="1355"/>
      <c r="AD195" s="1353"/>
      <c r="AE195" s="1355"/>
      <c r="AF195" s="1355"/>
      <c r="AG195" s="1355"/>
      <c r="AH195" s="1361"/>
      <c r="AI195" s="1482"/>
      <c r="AJ195" s="1484"/>
      <c r="AK195" s="1486"/>
      <c r="AL195" s="1434"/>
      <c r="AM195" s="1488"/>
      <c r="AN195" s="1503"/>
      <c r="AO195" s="1365"/>
      <c r="AP195" s="1404"/>
      <c r="AQ195" s="1404"/>
      <c r="AR195" s="1490"/>
      <c r="AS195" s="1492"/>
      <c r="AT195" s="1331" t="str">
        <f t="shared" si="136"/>
        <v/>
      </c>
      <c r="AU195" s="651"/>
      <c r="AV195" s="1493"/>
      <c r="AW195" s="1518" t="str">
        <f>IF('別紙様式2-2（４・５月分）'!O150="","",'別紙様式2-2（４・５月分）'!O150)</f>
        <v/>
      </c>
      <c r="AX195" s="1507"/>
      <c r="AY195" s="1506"/>
      <c r="AZ195" s="1321"/>
      <c r="BA195" s="1321"/>
      <c r="BB195" s="1321"/>
      <c r="BC195" s="1321"/>
      <c r="BD195" s="1321"/>
      <c r="BE195" s="1321"/>
      <c r="BF195" s="1321"/>
      <c r="BG195" s="1321"/>
      <c r="BH195" s="1321"/>
      <c r="BI195" s="1321"/>
      <c r="BJ195" s="1512"/>
      <c r="BK195" s="1493"/>
      <c r="BL195" s="543" t="str">
        <f>G194</f>
        <v/>
      </c>
    </row>
    <row r="196" spans="1:64" ht="15" customHeight="1">
      <c r="A196" s="1240"/>
      <c r="B196" s="1272"/>
      <c r="C196" s="1261"/>
      <c r="D196" s="1261"/>
      <c r="E196" s="1261"/>
      <c r="F196" s="1262"/>
      <c r="G196" s="1266"/>
      <c r="H196" s="1266"/>
      <c r="I196" s="1266"/>
      <c r="J196" s="1372"/>
      <c r="K196" s="1266"/>
      <c r="L196" s="1247"/>
      <c r="M196" s="1374"/>
      <c r="N196" s="1371"/>
      <c r="O196" s="1368"/>
      <c r="P196" s="1390" t="s">
        <v>2179</v>
      </c>
      <c r="Q196" s="1386" t="str">
        <f>IFERROR(VLOOKUP('別紙様式2-2（４・５月分）'!AR149,【参考】数式用!$AT$5:$AV$22,3,FALSE),"")</f>
        <v/>
      </c>
      <c r="R196" s="1388" t="s">
        <v>2190</v>
      </c>
      <c r="S196" s="1394" t="str">
        <f>IFERROR(VLOOKUP(K194,【参考】数式用!$A$5:$AB$27,MATCH(Q196,【参考】数式用!$B$4:$AB$4,0)+1,0),"")</f>
        <v/>
      </c>
      <c r="T196" s="1459" t="s">
        <v>217</v>
      </c>
      <c r="U196" s="1461"/>
      <c r="V196" s="1463" t="str">
        <f>IFERROR(VLOOKUP(K194,【参考】数式用!$A$5:$AB$27,MATCH(U196,【参考】数式用!$B$4:$AB$4,0)+1,0),"")</f>
        <v/>
      </c>
      <c r="W196" s="1465" t="s">
        <v>19</v>
      </c>
      <c r="X196" s="1508">
        <v>7</v>
      </c>
      <c r="Y196" s="1407" t="s">
        <v>10</v>
      </c>
      <c r="Z196" s="1508">
        <v>4</v>
      </c>
      <c r="AA196" s="1407" t="s">
        <v>45</v>
      </c>
      <c r="AB196" s="1508">
        <v>8</v>
      </c>
      <c r="AC196" s="1407" t="s">
        <v>10</v>
      </c>
      <c r="AD196" s="1508">
        <v>3</v>
      </c>
      <c r="AE196" s="1407" t="s">
        <v>13</v>
      </c>
      <c r="AF196" s="1407" t="s">
        <v>24</v>
      </c>
      <c r="AG196" s="1407">
        <f>IF(X196&gt;=1,(AB196*12+AD196)-(X196*12+Z196)+1,"")</f>
        <v>12</v>
      </c>
      <c r="AH196" s="1409" t="s">
        <v>38</v>
      </c>
      <c r="AI196" s="1496" t="str">
        <f>IFERROR(ROUNDDOWN(ROUND(L194*V196,0)*M194,0)*AG196,"")</f>
        <v/>
      </c>
      <c r="AJ196" s="1510" t="str">
        <f>IFERROR(ROUNDDOWN(ROUND((L194*(V196-AX194)),0)*M194,0)*AG196,"")</f>
        <v/>
      </c>
      <c r="AK196" s="1494">
        <f>IFERROR(IF(OR(N194="",N195="",N197=""),0,ROUNDDOWN(ROUNDDOWN(ROUND(L194*VLOOKUP(K194,【参考】数式用!$A$5:$AB$27,MATCH("新加算Ⅳ",【参考】数式用!$B$4:$AB$4,0)+1,0),0)*M194,0)*AG196*0.5,0)),"")</f>
        <v>0</v>
      </c>
      <c r="AL196" s="1435" t="str">
        <f t="shared" ref="AL196" si="186">IF(U196&lt;&gt;"","新規に適用","")</f>
        <v/>
      </c>
      <c r="AM196" s="1498">
        <f>IFERROR(IF(OR(N197="ベア加算",N197=""),0, IF(OR(U194="新加算Ⅰ",U194="新加算Ⅱ",U194="新加算Ⅲ",U194="新加算Ⅳ"),0,ROUNDDOWN(ROUND(L194*VLOOKUP(K194,【参考】数式用!$A$5:$I$27,MATCH("ベア加算",【参考】数式用!$B$4:$I$4,0)+1,0),0)*M194,0)*AG196)),"")</f>
        <v>0</v>
      </c>
      <c r="AN196" s="1356" t="str">
        <f t="shared" ref="AN196" si="187">IF(AM196=0,"",IF(AND(U196&lt;&gt;"",AN194=""),"新規に適用",IF(AND(U196&lt;&gt;"",AN194&lt;&gt;""),"継続で適用","")))</f>
        <v/>
      </c>
      <c r="AO196" s="1356" t="str">
        <f>IF(AND(U196&lt;&gt;"",AO194=""),"新規に適用",IF(AND(U196&lt;&gt;"",AO194&lt;&gt;""),"継続で適用",""))</f>
        <v/>
      </c>
      <c r="AP196" s="1358"/>
      <c r="AQ196" s="1356" t="str">
        <f>IF(AND(U196&lt;&gt;"",AQ194=""),"新規に適用",IF(AND(U196&lt;&gt;"",AQ194&lt;&gt;""),"継続で適用",""))</f>
        <v/>
      </c>
      <c r="AR196" s="1344" t="str">
        <f t="shared" si="159"/>
        <v/>
      </c>
      <c r="AS196" s="1356" t="str">
        <f>IF(AND(U196&lt;&gt;"",AS194=""),"新規に適用",IF(AND(U196&lt;&gt;"",AS194&lt;&gt;""),"継続で適用",""))</f>
        <v/>
      </c>
      <c r="AT196" s="1331"/>
      <c r="AU196" s="651"/>
      <c r="AV196" s="1493" t="str">
        <f>IF(K194&lt;&gt;"","V列に色付け","")</f>
        <v/>
      </c>
      <c r="AW196" s="1518"/>
      <c r="AX196" s="1507"/>
      <c r="AY196" s="163"/>
      <c r="AZ196" s="163"/>
      <c r="BA196" s="163"/>
      <c r="BB196" s="163"/>
      <c r="BC196" s="163"/>
      <c r="BD196" s="163"/>
      <c r="BE196" s="163"/>
      <c r="BF196" s="163"/>
      <c r="BG196" s="163"/>
      <c r="BH196" s="163"/>
      <c r="BI196" s="163"/>
      <c r="BJ196" s="163"/>
      <c r="BK196" s="163"/>
      <c r="BL196" s="543" t="str">
        <f>G194</f>
        <v/>
      </c>
    </row>
    <row r="197" spans="1:64" ht="30" customHeight="1" thickBot="1">
      <c r="A197" s="1227"/>
      <c r="B197" s="1376"/>
      <c r="C197" s="1377"/>
      <c r="D197" s="1377"/>
      <c r="E197" s="1377"/>
      <c r="F197" s="1378"/>
      <c r="G197" s="1267"/>
      <c r="H197" s="1267"/>
      <c r="I197" s="1267"/>
      <c r="J197" s="1373"/>
      <c r="K197" s="1267"/>
      <c r="L197" s="1248"/>
      <c r="M197" s="1375"/>
      <c r="N197" s="650" t="str">
        <f>IF('別紙様式2-2（４・５月分）'!Q151="","",'別紙様式2-2（４・５月分）'!Q151)</f>
        <v/>
      </c>
      <c r="O197" s="1369"/>
      <c r="P197" s="1391"/>
      <c r="Q197" s="1387"/>
      <c r="R197" s="1389"/>
      <c r="S197" s="1395"/>
      <c r="T197" s="1460"/>
      <c r="U197" s="1462"/>
      <c r="V197" s="1464"/>
      <c r="W197" s="1466"/>
      <c r="X197" s="1509"/>
      <c r="Y197" s="1408"/>
      <c r="Z197" s="1509"/>
      <c r="AA197" s="1408"/>
      <c r="AB197" s="1509"/>
      <c r="AC197" s="1408"/>
      <c r="AD197" s="1509"/>
      <c r="AE197" s="1408"/>
      <c r="AF197" s="1408"/>
      <c r="AG197" s="1408"/>
      <c r="AH197" s="1410"/>
      <c r="AI197" s="1497"/>
      <c r="AJ197" s="1511"/>
      <c r="AK197" s="1495"/>
      <c r="AL197" s="1436"/>
      <c r="AM197" s="1499"/>
      <c r="AN197" s="1357"/>
      <c r="AO197" s="1357"/>
      <c r="AP197" s="1359"/>
      <c r="AQ197" s="1357"/>
      <c r="AR197" s="1345"/>
      <c r="AS197" s="1357"/>
      <c r="AT197" s="581" t="str">
        <f t="shared" ref="AT197" si="188">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51"/>
      <c r="AV197" s="1493"/>
      <c r="AW197" s="652" t="str">
        <f>IF('別紙様式2-2（４・５月分）'!O151="","",'別紙様式2-2（４・５月分）'!O151)</f>
        <v/>
      </c>
      <c r="AX197" s="1507"/>
      <c r="AY197" s="163"/>
      <c r="AZ197" s="163"/>
      <c r="BA197" s="163"/>
      <c r="BB197" s="163"/>
      <c r="BC197" s="163"/>
      <c r="BD197" s="163"/>
      <c r="BE197" s="163"/>
      <c r="BF197" s="163"/>
      <c r="BG197" s="163"/>
      <c r="BH197" s="163"/>
      <c r="BI197" s="163"/>
      <c r="BJ197" s="163"/>
      <c r="BK197" s="163"/>
      <c r="BL197" s="543" t="str">
        <f>G194</f>
        <v/>
      </c>
    </row>
    <row r="198" spans="1:64" ht="30" customHeight="1">
      <c r="A198" s="1225">
        <v>47</v>
      </c>
      <c r="B198" s="1271" t="str">
        <f>IF(基本情報入力シート!C100="","",基本情報入力シート!C100)</f>
        <v/>
      </c>
      <c r="C198" s="1259"/>
      <c r="D198" s="1259"/>
      <c r="E198" s="1259"/>
      <c r="F198" s="1260"/>
      <c r="G198" s="1265" t="str">
        <f>IF(基本情報入力シート!M100="","",基本情報入力シート!M100)</f>
        <v/>
      </c>
      <c r="H198" s="1265" t="str">
        <f>IF(基本情報入力シート!R100="","",基本情報入力シート!R100)</f>
        <v/>
      </c>
      <c r="I198" s="1265" t="str">
        <f>IF(基本情報入力シート!W100="","",基本情報入力シート!W100)</f>
        <v/>
      </c>
      <c r="J198" s="1379" t="str">
        <f>IF(基本情報入力シート!X100="","",基本情報入力シート!X100)</f>
        <v/>
      </c>
      <c r="K198" s="1265" t="str">
        <f>IF(基本情報入力シート!Y100="","",基本情報入力シート!Y100)</f>
        <v/>
      </c>
      <c r="L198" s="1246" t="str">
        <f>IF(基本情報入力シート!AB100="","",基本情報入力シート!AB100)</f>
        <v/>
      </c>
      <c r="M198" s="1249" t="str">
        <f>IF(基本情報入力シート!AC100="","",基本情報入力シート!AC100)</f>
        <v/>
      </c>
      <c r="N198" s="647" t="str">
        <f>IF('別紙様式2-2（４・５月分）'!Q152="","",'別紙様式2-2（４・５月分）'!Q152)</f>
        <v/>
      </c>
      <c r="O198" s="1366" t="str">
        <f>IF(SUM('別紙様式2-2（４・５月分）'!R152:R154)=0,"",SUM('別紙様式2-2（４・５月分）'!R152:R154))</f>
        <v/>
      </c>
      <c r="P198" s="1380" t="str">
        <f>IFERROR(VLOOKUP('別紙様式2-2（４・５月分）'!AR152,【参考】数式用!$AT$5:$AU$22,2,FALSE),"")</f>
        <v/>
      </c>
      <c r="Q198" s="1381"/>
      <c r="R198" s="1382"/>
      <c r="S198" s="1392" t="str">
        <f>IFERROR(VLOOKUP(K198,【参考】数式用!$A$5:$AB$27,MATCH(P198,【参考】数式用!$B$4:$AB$4,0)+1,0),"")</f>
        <v/>
      </c>
      <c r="T198" s="1413" t="s">
        <v>2173</v>
      </c>
      <c r="U198" s="1415"/>
      <c r="V198" s="1457" t="str">
        <f>IFERROR(VLOOKUP(K198,【参考】数式用!$A$5:$AB$27,MATCH(U198,【参考】数式用!$B$4:$AB$4,0)+1,0),"")</f>
        <v/>
      </c>
      <c r="W198" s="1350" t="s">
        <v>19</v>
      </c>
      <c r="X198" s="1352">
        <v>6</v>
      </c>
      <c r="Y198" s="1354" t="s">
        <v>10</v>
      </c>
      <c r="Z198" s="1352">
        <v>6</v>
      </c>
      <c r="AA198" s="1354" t="s">
        <v>45</v>
      </c>
      <c r="AB198" s="1352">
        <v>7</v>
      </c>
      <c r="AC198" s="1354" t="s">
        <v>10</v>
      </c>
      <c r="AD198" s="1352">
        <v>3</v>
      </c>
      <c r="AE198" s="1354" t="s">
        <v>13</v>
      </c>
      <c r="AF198" s="1354" t="s">
        <v>24</v>
      </c>
      <c r="AG198" s="1354">
        <f>IF(X198&gt;=1,(AB198*12+AD198)-(X198*12+Z198)+1,"")</f>
        <v>10</v>
      </c>
      <c r="AH198" s="1360" t="s">
        <v>38</v>
      </c>
      <c r="AI198" s="1481" t="str">
        <f>IFERROR(ROUNDDOWN(ROUND(L198*V198,0)*M198,0)*AG198,"")</f>
        <v/>
      </c>
      <c r="AJ198" s="1483" t="str">
        <f>IFERROR(ROUNDDOWN(ROUND((L198*(V198-AX198)),0)*M198,0)*AG198,"")</f>
        <v/>
      </c>
      <c r="AK198" s="1485">
        <f>IFERROR(IF(OR(N198="",N199="",N201=""),0,ROUNDDOWN(ROUNDDOWN(ROUND(L198*VLOOKUP(K198,【参考】数式用!$A$5:$AB$27,MATCH("新加算Ⅳ",【参考】数式用!$B$4:$AB$4,0)+1,0),0)*M198,0)*AG198*0.5,0)),"")</f>
        <v>0</v>
      </c>
      <c r="AL198" s="1433"/>
      <c r="AM198" s="1487">
        <f>IFERROR(IF(OR(N201="ベア加算",N201=""),0, IF(OR(U198="新加算Ⅰ",U198="新加算Ⅱ",U198="新加算Ⅲ",U198="新加算Ⅳ"),ROUNDDOWN(ROUND(L198*VLOOKUP(K198,【参考】数式用!$A$5:$I$27,MATCH("ベア加算",【参考】数式用!$B$4:$I$4,0)+1,0),0)*M198,0)*AG198,0)),"")</f>
        <v>0</v>
      </c>
      <c r="AN198" s="1502"/>
      <c r="AO198" s="1364"/>
      <c r="AP198" s="1403"/>
      <c r="AQ198" s="1403"/>
      <c r="AR198" s="1489"/>
      <c r="AS198" s="1491"/>
      <c r="AT198" s="556" t="str">
        <f t="shared" si="134"/>
        <v/>
      </c>
      <c r="AU198" s="651"/>
      <c r="AV198" s="1493" t="str">
        <f>IF(K198&lt;&gt;"","V列に色付け","")</f>
        <v/>
      </c>
      <c r="AW198" s="652" t="str">
        <f>IF('別紙様式2-2（４・５月分）'!O152="","",'別紙様式2-2（４・５月分）'!O152)</f>
        <v/>
      </c>
      <c r="AX198" s="1507" t="str">
        <f>IF(SUM('別紙様式2-2（４・５月分）'!P152:P154)=0,"",SUM('別紙様式2-2（４・５月分）'!P152:P154))</f>
        <v/>
      </c>
      <c r="AY198" s="1506" t="str">
        <f>IFERROR(VLOOKUP(K198,【参考】数式用!$AJ$2:$AK$24,2,FALSE),"")</f>
        <v/>
      </c>
      <c r="AZ198" s="1321" t="s">
        <v>2098</v>
      </c>
      <c r="BA198" s="1321" t="s">
        <v>2099</v>
      </c>
      <c r="BB198" s="1321" t="s">
        <v>2100</v>
      </c>
      <c r="BC198" s="1321" t="s">
        <v>2101</v>
      </c>
      <c r="BD198" s="1321" t="str">
        <f>IF(AND(P198&lt;&gt;"新加算Ⅰ",P198&lt;&gt;"新加算Ⅱ",P198&lt;&gt;"新加算Ⅲ",P198&lt;&gt;"新加算Ⅳ"),P198,IF(Q200&lt;&gt;"",Q200,""))</f>
        <v/>
      </c>
      <c r="BE198" s="1321"/>
      <c r="BF198" s="1321" t="str">
        <f t="shared" ref="BF198" si="189">IF(AM198&lt;&gt;0,IF(AN198="○","入力済","未入力"),"")</f>
        <v/>
      </c>
      <c r="BG198" s="1321"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321" t="str">
        <f>IF(OR(U198="新加算Ⅴ（７）",U198="新加算Ⅴ（９）",U198="新加算Ⅴ（10）",U198="新加算Ⅴ（12）",U198="新加算Ⅴ（13）",U198="新加算Ⅴ（14）"),IF(OR(AP198="○",AP198="令和６年度中に満たす"),"入力済","未入力"),"")</f>
        <v/>
      </c>
      <c r="BI198" s="1321" t="str">
        <f>IF(OR(U198="新加算Ⅰ",U198="新加算Ⅱ",U198="新加算Ⅲ",U198="新加算Ⅴ（１）",U198="新加算Ⅴ（３）",U198="新加算Ⅴ（８）"),IF(OR(AQ198="○",AQ198="令和６年度中に満たす"),"入力済","未入力"),"")</f>
        <v/>
      </c>
      <c r="BJ198" s="1512"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493" t="str">
        <f>IF(OR(U198="新加算Ⅰ",U198="新加算Ⅴ（１）",U198="新加算Ⅴ（２）",U198="新加算Ⅴ（５）",U198="新加算Ⅴ（７）",U198="新加算Ⅴ（10）"),IF(AS198="","未入力","入力済"),"")</f>
        <v/>
      </c>
      <c r="BL198" s="543" t="str">
        <f>G198</f>
        <v/>
      </c>
    </row>
    <row r="199" spans="1:64" ht="15" customHeight="1">
      <c r="A199" s="1226"/>
      <c r="B199" s="1272"/>
      <c r="C199" s="1261"/>
      <c r="D199" s="1261"/>
      <c r="E199" s="1261"/>
      <c r="F199" s="1262"/>
      <c r="G199" s="1266"/>
      <c r="H199" s="1266"/>
      <c r="I199" s="1266"/>
      <c r="J199" s="1372"/>
      <c r="K199" s="1266"/>
      <c r="L199" s="1247"/>
      <c r="M199" s="1250"/>
      <c r="N199" s="1370" t="str">
        <f>IF('別紙様式2-2（４・５月分）'!Q153="","",'別紙様式2-2（４・５月分）'!Q153)</f>
        <v/>
      </c>
      <c r="O199" s="1367"/>
      <c r="P199" s="1383"/>
      <c r="Q199" s="1384"/>
      <c r="R199" s="1385"/>
      <c r="S199" s="1393"/>
      <c r="T199" s="1414"/>
      <c r="U199" s="1416"/>
      <c r="V199" s="1458"/>
      <c r="W199" s="1351"/>
      <c r="X199" s="1353"/>
      <c r="Y199" s="1355"/>
      <c r="Z199" s="1353"/>
      <c r="AA199" s="1355"/>
      <c r="AB199" s="1353"/>
      <c r="AC199" s="1355"/>
      <c r="AD199" s="1353"/>
      <c r="AE199" s="1355"/>
      <c r="AF199" s="1355"/>
      <c r="AG199" s="1355"/>
      <c r="AH199" s="1361"/>
      <c r="AI199" s="1482"/>
      <c r="AJ199" s="1484"/>
      <c r="AK199" s="1486"/>
      <c r="AL199" s="1434"/>
      <c r="AM199" s="1488"/>
      <c r="AN199" s="1503"/>
      <c r="AO199" s="1365"/>
      <c r="AP199" s="1404"/>
      <c r="AQ199" s="1404"/>
      <c r="AR199" s="1490"/>
      <c r="AS199" s="1492"/>
      <c r="AT199" s="1331" t="str">
        <f t="shared" si="136"/>
        <v/>
      </c>
      <c r="AU199" s="651"/>
      <c r="AV199" s="1493"/>
      <c r="AW199" s="1518" t="str">
        <f>IF('別紙様式2-2（４・５月分）'!O153="","",'別紙様式2-2（４・５月分）'!O153)</f>
        <v/>
      </c>
      <c r="AX199" s="1507"/>
      <c r="AY199" s="1506"/>
      <c r="AZ199" s="1321"/>
      <c r="BA199" s="1321"/>
      <c r="BB199" s="1321"/>
      <c r="BC199" s="1321"/>
      <c r="BD199" s="1321"/>
      <c r="BE199" s="1321"/>
      <c r="BF199" s="1321"/>
      <c r="BG199" s="1321"/>
      <c r="BH199" s="1321"/>
      <c r="BI199" s="1321"/>
      <c r="BJ199" s="1512"/>
      <c r="BK199" s="1493"/>
      <c r="BL199" s="543" t="str">
        <f>G198</f>
        <v/>
      </c>
    </row>
    <row r="200" spans="1:64" ht="15" customHeight="1">
      <c r="A200" s="1240"/>
      <c r="B200" s="1272"/>
      <c r="C200" s="1261"/>
      <c r="D200" s="1261"/>
      <c r="E200" s="1261"/>
      <c r="F200" s="1262"/>
      <c r="G200" s="1266"/>
      <c r="H200" s="1266"/>
      <c r="I200" s="1266"/>
      <c r="J200" s="1372"/>
      <c r="K200" s="1266"/>
      <c r="L200" s="1247"/>
      <c r="M200" s="1250"/>
      <c r="N200" s="1371"/>
      <c r="O200" s="1368"/>
      <c r="P200" s="1390" t="s">
        <v>2179</v>
      </c>
      <c r="Q200" s="1386" t="str">
        <f>IFERROR(VLOOKUP('別紙様式2-2（４・５月分）'!AR152,【参考】数式用!$AT$5:$AV$22,3,FALSE),"")</f>
        <v/>
      </c>
      <c r="R200" s="1388" t="s">
        <v>2190</v>
      </c>
      <c r="S200" s="1396" t="str">
        <f>IFERROR(VLOOKUP(K198,【参考】数式用!$A$5:$AB$27,MATCH(Q200,【参考】数式用!$B$4:$AB$4,0)+1,0),"")</f>
        <v/>
      </c>
      <c r="T200" s="1459" t="s">
        <v>217</v>
      </c>
      <c r="U200" s="1461"/>
      <c r="V200" s="1463" t="str">
        <f>IFERROR(VLOOKUP(K198,【参考】数式用!$A$5:$AB$27,MATCH(U200,【参考】数式用!$B$4:$AB$4,0)+1,0),"")</f>
        <v/>
      </c>
      <c r="W200" s="1465" t="s">
        <v>19</v>
      </c>
      <c r="X200" s="1508">
        <v>7</v>
      </c>
      <c r="Y200" s="1407" t="s">
        <v>10</v>
      </c>
      <c r="Z200" s="1508">
        <v>4</v>
      </c>
      <c r="AA200" s="1407" t="s">
        <v>45</v>
      </c>
      <c r="AB200" s="1508">
        <v>8</v>
      </c>
      <c r="AC200" s="1407" t="s">
        <v>10</v>
      </c>
      <c r="AD200" s="1508">
        <v>3</v>
      </c>
      <c r="AE200" s="1407" t="s">
        <v>13</v>
      </c>
      <c r="AF200" s="1407" t="s">
        <v>24</v>
      </c>
      <c r="AG200" s="1407">
        <f>IF(X200&gt;=1,(AB200*12+AD200)-(X200*12+Z200)+1,"")</f>
        <v>12</v>
      </c>
      <c r="AH200" s="1409" t="s">
        <v>38</v>
      </c>
      <c r="AI200" s="1496" t="str">
        <f>IFERROR(ROUNDDOWN(ROUND(L198*V200,0)*M198,0)*AG200,"")</f>
        <v/>
      </c>
      <c r="AJ200" s="1510" t="str">
        <f>IFERROR(ROUNDDOWN(ROUND((L198*(V200-AX198)),0)*M198,0)*AG200,"")</f>
        <v/>
      </c>
      <c r="AK200" s="1494">
        <f>IFERROR(IF(OR(N198="",N199="",N201=""),0,ROUNDDOWN(ROUNDDOWN(ROUND(L198*VLOOKUP(K198,【参考】数式用!$A$5:$AB$27,MATCH("新加算Ⅳ",【参考】数式用!$B$4:$AB$4,0)+1,0),0)*M198,0)*AG200*0.5,0)),"")</f>
        <v>0</v>
      </c>
      <c r="AL200" s="1435" t="str">
        <f t="shared" ref="AL200" si="190">IF(U200&lt;&gt;"","新規に適用","")</f>
        <v/>
      </c>
      <c r="AM200" s="1498">
        <f>IFERROR(IF(OR(N201="ベア加算",N201=""),0, IF(OR(U198="新加算Ⅰ",U198="新加算Ⅱ",U198="新加算Ⅲ",U198="新加算Ⅳ"),0,ROUNDDOWN(ROUND(L198*VLOOKUP(K198,【参考】数式用!$A$5:$I$27,MATCH("ベア加算",【参考】数式用!$B$4:$I$4,0)+1,0),0)*M198,0)*AG200)),"")</f>
        <v>0</v>
      </c>
      <c r="AN200" s="1356" t="str">
        <f t="shared" ref="AN200" si="191">IF(AM200=0,"",IF(AND(U200&lt;&gt;"",AN198=""),"新規に適用",IF(AND(U200&lt;&gt;"",AN198&lt;&gt;""),"継続で適用","")))</f>
        <v/>
      </c>
      <c r="AO200" s="1356" t="str">
        <f>IF(AND(U200&lt;&gt;"",AO198=""),"新規に適用",IF(AND(U200&lt;&gt;"",AO198&lt;&gt;""),"継続で適用",""))</f>
        <v/>
      </c>
      <c r="AP200" s="1358"/>
      <c r="AQ200" s="1356" t="str">
        <f>IF(AND(U200&lt;&gt;"",AQ198=""),"新規に適用",IF(AND(U200&lt;&gt;"",AQ198&lt;&gt;""),"継続で適用",""))</f>
        <v/>
      </c>
      <c r="AR200" s="1344" t="str">
        <f t="shared" si="159"/>
        <v/>
      </c>
      <c r="AS200" s="1356" t="str">
        <f>IF(AND(U200&lt;&gt;"",AS198=""),"新規に適用",IF(AND(U200&lt;&gt;"",AS198&lt;&gt;""),"継続で適用",""))</f>
        <v/>
      </c>
      <c r="AT200" s="1331"/>
      <c r="AU200" s="651"/>
      <c r="AV200" s="1493" t="str">
        <f>IF(K198&lt;&gt;"","V列に色付け","")</f>
        <v/>
      </c>
      <c r="AW200" s="1518"/>
      <c r="AX200" s="1507"/>
      <c r="AY200" s="163"/>
      <c r="AZ200" s="163"/>
      <c r="BA200" s="163"/>
      <c r="BB200" s="163"/>
      <c r="BC200" s="163"/>
      <c r="BD200" s="163"/>
      <c r="BE200" s="163"/>
      <c r="BF200" s="163"/>
      <c r="BG200" s="163"/>
      <c r="BH200" s="163"/>
      <c r="BI200" s="163"/>
      <c r="BJ200" s="163"/>
      <c r="BK200" s="163"/>
      <c r="BL200" s="543" t="str">
        <f>G198</f>
        <v/>
      </c>
    </row>
    <row r="201" spans="1:64" ht="30" customHeight="1" thickBot="1">
      <c r="A201" s="1227"/>
      <c r="B201" s="1376"/>
      <c r="C201" s="1377"/>
      <c r="D201" s="1377"/>
      <c r="E201" s="1377"/>
      <c r="F201" s="1378"/>
      <c r="G201" s="1267"/>
      <c r="H201" s="1267"/>
      <c r="I201" s="1267"/>
      <c r="J201" s="1373"/>
      <c r="K201" s="1267"/>
      <c r="L201" s="1248"/>
      <c r="M201" s="1251"/>
      <c r="N201" s="650" t="str">
        <f>IF('別紙様式2-2（４・５月分）'!Q154="","",'別紙様式2-2（４・５月分）'!Q154)</f>
        <v/>
      </c>
      <c r="O201" s="1369"/>
      <c r="P201" s="1391"/>
      <c r="Q201" s="1387"/>
      <c r="R201" s="1389"/>
      <c r="S201" s="1395"/>
      <c r="T201" s="1460"/>
      <c r="U201" s="1462"/>
      <c r="V201" s="1464"/>
      <c r="W201" s="1466"/>
      <c r="X201" s="1509"/>
      <c r="Y201" s="1408"/>
      <c r="Z201" s="1509"/>
      <c r="AA201" s="1408"/>
      <c r="AB201" s="1509"/>
      <c r="AC201" s="1408"/>
      <c r="AD201" s="1509"/>
      <c r="AE201" s="1408"/>
      <c r="AF201" s="1408"/>
      <c r="AG201" s="1408"/>
      <c r="AH201" s="1410"/>
      <c r="AI201" s="1497"/>
      <c r="AJ201" s="1511"/>
      <c r="AK201" s="1495"/>
      <c r="AL201" s="1436"/>
      <c r="AM201" s="1499"/>
      <c r="AN201" s="1357"/>
      <c r="AO201" s="1357"/>
      <c r="AP201" s="1359"/>
      <c r="AQ201" s="1357"/>
      <c r="AR201" s="1345"/>
      <c r="AS201" s="1357"/>
      <c r="AT201" s="581" t="str">
        <f t="shared" ref="AT201" si="192">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51"/>
      <c r="AV201" s="1493"/>
      <c r="AW201" s="652" t="str">
        <f>IF('別紙様式2-2（４・５月分）'!O154="","",'別紙様式2-2（４・５月分）'!O154)</f>
        <v/>
      </c>
      <c r="AX201" s="1507"/>
      <c r="AY201" s="163"/>
      <c r="AZ201" s="163"/>
      <c r="BA201" s="163"/>
      <c r="BB201" s="163"/>
      <c r="BC201" s="163"/>
      <c r="BD201" s="163"/>
      <c r="BE201" s="163"/>
      <c r="BF201" s="163"/>
      <c r="BG201" s="163"/>
      <c r="BH201" s="163"/>
      <c r="BI201" s="163"/>
      <c r="BJ201" s="163"/>
      <c r="BK201" s="163"/>
      <c r="BL201" s="543" t="str">
        <f>G198</f>
        <v/>
      </c>
    </row>
    <row r="202" spans="1:64" ht="30" customHeight="1">
      <c r="A202" s="1241">
        <v>48</v>
      </c>
      <c r="B202" s="1272" t="str">
        <f>IF(基本情報入力シート!C101="","",基本情報入力シート!C101)</f>
        <v/>
      </c>
      <c r="C202" s="1261"/>
      <c r="D202" s="1261"/>
      <c r="E202" s="1261"/>
      <c r="F202" s="1262"/>
      <c r="G202" s="1266" t="str">
        <f>IF(基本情報入力シート!M101="","",基本情報入力シート!M101)</f>
        <v/>
      </c>
      <c r="H202" s="1266" t="str">
        <f>IF(基本情報入力シート!R101="","",基本情報入力シート!R101)</f>
        <v/>
      </c>
      <c r="I202" s="1266" t="str">
        <f>IF(基本情報入力シート!W101="","",基本情報入力シート!W101)</f>
        <v/>
      </c>
      <c r="J202" s="1372" t="str">
        <f>IF(基本情報入力シート!X101="","",基本情報入力シート!X101)</f>
        <v/>
      </c>
      <c r="K202" s="1266" t="str">
        <f>IF(基本情報入力シート!Y101="","",基本情報入力シート!Y101)</f>
        <v/>
      </c>
      <c r="L202" s="1247" t="str">
        <f>IF(基本情報入力シート!AB101="","",基本情報入力シート!AB101)</f>
        <v/>
      </c>
      <c r="M202" s="1374" t="str">
        <f>IF(基本情報入力シート!AC101="","",基本情報入力シート!AC101)</f>
        <v/>
      </c>
      <c r="N202" s="647" t="str">
        <f>IF('別紙様式2-2（４・５月分）'!Q155="","",'別紙様式2-2（４・５月分）'!Q155)</f>
        <v/>
      </c>
      <c r="O202" s="1366" t="str">
        <f>IF(SUM('別紙様式2-2（４・５月分）'!R155:R157)=0,"",SUM('別紙様式2-2（４・５月分）'!R155:R157))</f>
        <v/>
      </c>
      <c r="P202" s="1380" t="str">
        <f>IFERROR(VLOOKUP('別紙様式2-2（４・５月分）'!AR155,【参考】数式用!$AT$5:$AU$22,2,FALSE),"")</f>
        <v/>
      </c>
      <c r="Q202" s="1381"/>
      <c r="R202" s="1382"/>
      <c r="S202" s="1392" t="str">
        <f>IFERROR(VLOOKUP(K202,【参考】数式用!$A$5:$AB$27,MATCH(P202,【参考】数式用!$B$4:$AB$4,0)+1,0),"")</f>
        <v/>
      </c>
      <c r="T202" s="1413" t="s">
        <v>2173</v>
      </c>
      <c r="U202" s="1415"/>
      <c r="V202" s="1457" t="str">
        <f>IFERROR(VLOOKUP(K202,【参考】数式用!$A$5:$AB$27,MATCH(U202,【参考】数式用!$B$4:$AB$4,0)+1,0),"")</f>
        <v/>
      </c>
      <c r="W202" s="1350" t="s">
        <v>19</v>
      </c>
      <c r="X202" s="1352">
        <v>6</v>
      </c>
      <c r="Y202" s="1354" t="s">
        <v>10</v>
      </c>
      <c r="Z202" s="1352">
        <v>6</v>
      </c>
      <c r="AA202" s="1354" t="s">
        <v>45</v>
      </c>
      <c r="AB202" s="1352">
        <v>7</v>
      </c>
      <c r="AC202" s="1354" t="s">
        <v>10</v>
      </c>
      <c r="AD202" s="1352">
        <v>3</v>
      </c>
      <c r="AE202" s="1354" t="s">
        <v>13</v>
      </c>
      <c r="AF202" s="1354" t="s">
        <v>24</v>
      </c>
      <c r="AG202" s="1354">
        <f>IF(X202&gt;=1,(AB202*12+AD202)-(X202*12+Z202)+1,"")</f>
        <v>10</v>
      </c>
      <c r="AH202" s="1360" t="s">
        <v>38</v>
      </c>
      <c r="AI202" s="1481" t="str">
        <f>IFERROR(ROUNDDOWN(ROUND(L202*V202,0)*M202,0)*AG202,"")</f>
        <v/>
      </c>
      <c r="AJ202" s="1483" t="str">
        <f>IFERROR(ROUNDDOWN(ROUND((L202*(V202-AX202)),0)*M202,0)*AG202,"")</f>
        <v/>
      </c>
      <c r="AK202" s="1485">
        <f>IFERROR(IF(OR(N202="",N203="",N205=""),0,ROUNDDOWN(ROUNDDOWN(ROUND(L202*VLOOKUP(K202,【参考】数式用!$A$5:$AB$27,MATCH("新加算Ⅳ",【参考】数式用!$B$4:$AB$4,0)+1,0),0)*M202,0)*AG202*0.5,0)),"")</f>
        <v>0</v>
      </c>
      <c r="AL202" s="1433"/>
      <c r="AM202" s="1487">
        <f>IFERROR(IF(OR(N205="ベア加算",N205=""),0, IF(OR(U202="新加算Ⅰ",U202="新加算Ⅱ",U202="新加算Ⅲ",U202="新加算Ⅳ"),ROUNDDOWN(ROUND(L202*VLOOKUP(K202,【参考】数式用!$A$5:$I$27,MATCH("ベア加算",【参考】数式用!$B$4:$I$4,0)+1,0),0)*M202,0)*AG202,0)),"")</f>
        <v>0</v>
      </c>
      <c r="AN202" s="1502"/>
      <c r="AO202" s="1364"/>
      <c r="AP202" s="1403"/>
      <c r="AQ202" s="1403"/>
      <c r="AR202" s="1489"/>
      <c r="AS202" s="1491"/>
      <c r="AT202" s="556" t="str">
        <f t="shared" si="134"/>
        <v/>
      </c>
      <c r="AU202" s="651"/>
      <c r="AV202" s="1493" t="str">
        <f>IF(K202&lt;&gt;"","V列に色付け","")</f>
        <v/>
      </c>
      <c r="AW202" s="652" t="str">
        <f>IF('別紙様式2-2（４・５月分）'!O155="","",'別紙様式2-2（４・５月分）'!O155)</f>
        <v/>
      </c>
      <c r="AX202" s="1507" t="str">
        <f>IF(SUM('別紙様式2-2（４・５月分）'!P155:P157)=0,"",SUM('別紙様式2-2（４・５月分）'!P155:P157))</f>
        <v/>
      </c>
      <c r="AY202" s="1506" t="str">
        <f>IFERROR(VLOOKUP(K202,【参考】数式用!$AJ$2:$AK$24,2,FALSE),"")</f>
        <v/>
      </c>
      <c r="AZ202" s="1321" t="s">
        <v>2098</v>
      </c>
      <c r="BA202" s="1321" t="s">
        <v>2099</v>
      </c>
      <c r="BB202" s="1321" t="s">
        <v>2100</v>
      </c>
      <c r="BC202" s="1321" t="s">
        <v>2101</v>
      </c>
      <c r="BD202" s="1321" t="str">
        <f>IF(AND(P202&lt;&gt;"新加算Ⅰ",P202&lt;&gt;"新加算Ⅱ",P202&lt;&gt;"新加算Ⅲ",P202&lt;&gt;"新加算Ⅳ"),P202,IF(Q204&lt;&gt;"",Q204,""))</f>
        <v/>
      </c>
      <c r="BE202" s="1321"/>
      <c r="BF202" s="1321" t="str">
        <f t="shared" ref="BF202" si="193">IF(AM202&lt;&gt;0,IF(AN202="○","入力済","未入力"),"")</f>
        <v/>
      </c>
      <c r="BG202" s="1321"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321" t="str">
        <f>IF(OR(U202="新加算Ⅴ（７）",U202="新加算Ⅴ（９）",U202="新加算Ⅴ（10）",U202="新加算Ⅴ（12）",U202="新加算Ⅴ（13）",U202="新加算Ⅴ（14）"),IF(OR(AP202="○",AP202="令和６年度中に満たす"),"入力済","未入力"),"")</f>
        <v/>
      </c>
      <c r="BI202" s="1321" t="str">
        <f>IF(OR(U202="新加算Ⅰ",U202="新加算Ⅱ",U202="新加算Ⅲ",U202="新加算Ⅴ（１）",U202="新加算Ⅴ（３）",U202="新加算Ⅴ（８）"),IF(OR(AQ202="○",AQ202="令和６年度中に満たす"),"入力済","未入力"),"")</f>
        <v/>
      </c>
      <c r="BJ202" s="1512"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493" t="str">
        <f>IF(OR(U202="新加算Ⅰ",U202="新加算Ⅴ（１）",U202="新加算Ⅴ（２）",U202="新加算Ⅴ（５）",U202="新加算Ⅴ（７）",U202="新加算Ⅴ（10）"),IF(AS202="","未入力","入力済"),"")</f>
        <v/>
      </c>
      <c r="BL202" s="543" t="str">
        <f>G202</f>
        <v/>
      </c>
    </row>
    <row r="203" spans="1:64" ht="15" customHeight="1">
      <c r="A203" s="1226"/>
      <c r="B203" s="1272"/>
      <c r="C203" s="1261"/>
      <c r="D203" s="1261"/>
      <c r="E203" s="1261"/>
      <c r="F203" s="1262"/>
      <c r="G203" s="1266"/>
      <c r="H203" s="1266"/>
      <c r="I203" s="1266"/>
      <c r="J203" s="1372"/>
      <c r="K203" s="1266"/>
      <c r="L203" s="1247"/>
      <c r="M203" s="1374"/>
      <c r="N203" s="1370" t="str">
        <f>IF('別紙様式2-2（４・５月分）'!Q156="","",'別紙様式2-2（４・５月分）'!Q156)</f>
        <v/>
      </c>
      <c r="O203" s="1367"/>
      <c r="P203" s="1383"/>
      <c r="Q203" s="1384"/>
      <c r="R203" s="1385"/>
      <c r="S203" s="1393"/>
      <c r="T203" s="1414"/>
      <c r="U203" s="1416"/>
      <c r="V203" s="1458"/>
      <c r="W203" s="1351"/>
      <c r="X203" s="1353"/>
      <c r="Y203" s="1355"/>
      <c r="Z203" s="1353"/>
      <c r="AA203" s="1355"/>
      <c r="AB203" s="1353"/>
      <c r="AC203" s="1355"/>
      <c r="AD203" s="1353"/>
      <c r="AE203" s="1355"/>
      <c r="AF203" s="1355"/>
      <c r="AG203" s="1355"/>
      <c r="AH203" s="1361"/>
      <c r="AI203" s="1482"/>
      <c r="AJ203" s="1484"/>
      <c r="AK203" s="1486"/>
      <c r="AL203" s="1434"/>
      <c r="AM203" s="1488"/>
      <c r="AN203" s="1503"/>
      <c r="AO203" s="1365"/>
      <c r="AP203" s="1404"/>
      <c r="AQ203" s="1404"/>
      <c r="AR203" s="1490"/>
      <c r="AS203" s="1492"/>
      <c r="AT203" s="1331" t="str">
        <f t="shared" si="136"/>
        <v/>
      </c>
      <c r="AU203" s="651"/>
      <c r="AV203" s="1493"/>
      <c r="AW203" s="1518" t="str">
        <f>IF('別紙様式2-2（４・５月分）'!O156="","",'別紙様式2-2（４・５月分）'!O156)</f>
        <v/>
      </c>
      <c r="AX203" s="1507"/>
      <c r="AY203" s="1506"/>
      <c r="AZ203" s="1321"/>
      <c r="BA203" s="1321"/>
      <c r="BB203" s="1321"/>
      <c r="BC203" s="1321"/>
      <c r="BD203" s="1321"/>
      <c r="BE203" s="1321"/>
      <c r="BF203" s="1321"/>
      <c r="BG203" s="1321"/>
      <c r="BH203" s="1321"/>
      <c r="BI203" s="1321"/>
      <c r="BJ203" s="1512"/>
      <c r="BK203" s="1493"/>
      <c r="BL203" s="543" t="str">
        <f>G202</f>
        <v/>
      </c>
    </row>
    <row r="204" spans="1:64" ht="15" customHeight="1">
      <c r="A204" s="1240"/>
      <c r="B204" s="1272"/>
      <c r="C204" s="1261"/>
      <c r="D204" s="1261"/>
      <c r="E204" s="1261"/>
      <c r="F204" s="1262"/>
      <c r="G204" s="1266"/>
      <c r="H204" s="1266"/>
      <c r="I204" s="1266"/>
      <c r="J204" s="1372"/>
      <c r="K204" s="1266"/>
      <c r="L204" s="1247"/>
      <c r="M204" s="1374"/>
      <c r="N204" s="1371"/>
      <c r="O204" s="1368"/>
      <c r="P204" s="1390" t="s">
        <v>2179</v>
      </c>
      <c r="Q204" s="1386" t="str">
        <f>IFERROR(VLOOKUP('別紙様式2-2（４・５月分）'!AR155,【参考】数式用!$AT$5:$AV$22,3,FALSE),"")</f>
        <v/>
      </c>
      <c r="R204" s="1388" t="s">
        <v>2190</v>
      </c>
      <c r="S204" s="1394" t="str">
        <f>IFERROR(VLOOKUP(K202,【参考】数式用!$A$5:$AB$27,MATCH(Q204,【参考】数式用!$B$4:$AB$4,0)+1,0),"")</f>
        <v/>
      </c>
      <c r="T204" s="1459" t="s">
        <v>217</v>
      </c>
      <c r="U204" s="1461"/>
      <c r="V204" s="1463" t="str">
        <f>IFERROR(VLOOKUP(K202,【参考】数式用!$A$5:$AB$27,MATCH(U204,【参考】数式用!$B$4:$AB$4,0)+1,0),"")</f>
        <v/>
      </c>
      <c r="W204" s="1465" t="s">
        <v>19</v>
      </c>
      <c r="X204" s="1508">
        <v>7</v>
      </c>
      <c r="Y204" s="1407" t="s">
        <v>10</v>
      </c>
      <c r="Z204" s="1508">
        <v>4</v>
      </c>
      <c r="AA204" s="1407" t="s">
        <v>45</v>
      </c>
      <c r="AB204" s="1508">
        <v>8</v>
      </c>
      <c r="AC204" s="1407" t="s">
        <v>10</v>
      </c>
      <c r="AD204" s="1508">
        <v>3</v>
      </c>
      <c r="AE204" s="1407" t="s">
        <v>13</v>
      </c>
      <c r="AF204" s="1407" t="s">
        <v>24</v>
      </c>
      <c r="AG204" s="1407">
        <f>IF(X204&gt;=1,(AB204*12+AD204)-(X204*12+Z204)+1,"")</f>
        <v>12</v>
      </c>
      <c r="AH204" s="1409" t="s">
        <v>38</v>
      </c>
      <c r="AI204" s="1496" t="str">
        <f>IFERROR(ROUNDDOWN(ROUND(L202*V204,0)*M202,0)*AG204,"")</f>
        <v/>
      </c>
      <c r="AJ204" s="1510" t="str">
        <f>IFERROR(ROUNDDOWN(ROUND((L202*(V204-AX202)),0)*M202,0)*AG204,"")</f>
        <v/>
      </c>
      <c r="AK204" s="1494">
        <f>IFERROR(IF(OR(N202="",N203="",N205=""),0,ROUNDDOWN(ROUNDDOWN(ROUND(L202*VLOOKUP(K202,【参考】数式用!$A$5:$AB$27,MATCH("新加算Ⅳ",【参考】数式用!$B$4:$AB$4,0)+1,0),0)*M202,0)*AG204*0.5,0)),"")</f>
        <v>0</v>
      </c>
      <c r="AL204" s="1435" t="str">
        <f t="shared" ref="AL204" si="194">IF(U204&lt;&gt;"","新規に適用","")</f>
        <v/>
      </c>
      <c r="AM204" s="1498">
        <f>IFERROR(IF(OR(N205="ベア加算",N205=""),0, IF(OR(U202="新加算Ⅰ",U202="新加算Ⅱ",U202="新加算Ⅲ",U202="新加算Ⅳ"),0,ROUNDDOWN(ROUND(L202*VLOOKUP(K202,【参考】数式用!$A$5:$I$27,MATCH("ベア加算",【参考】数式用!$B$4:$I$4,0)+1,0),0)*M202,0)*AG204)),"")</f>
        <v>0</v>
      </c>
      <c r="AN204" s="1356" t="str">
        <f t="shared" ref="AN204" si="195">IF(AM204=0,"",IF(AND(U204&lt;&gt;"",AN202=""),"新規に適用",IF(AND(U204&lt;&gt;"",AN202&lt;&gt;""),"継続で適用","")))</f>
        <v/>
      </c>
      <c r="AO204" s="1356" t="str">
        <f>IF(AND(U204&lt;&gt;"",AO202=""),"新規に適用",IF(AND(U204&lt;&gt;"",AO202&lt;&gt;""),"継続で適用",""))</f>
        <v/>
      </c>
      <c r="AP204" s="1358"/>
      <c r="AQ204" s="1356" t="str">
        <f>IF(AND(U204&lt;&gt;"",AQ202=""),"新規に適用",IF(AND(U204&lt;&gt;"",AQ202&lt;&gt;""),"継続で適用",""))</f>
        <v/>
      </c>
      <c r="AR204" s="1344" t="str">
        <f t="shared" si="159"/>
        <v/>
      </c>
      <c r="AS204" s="1356" t="str">
        <f>IF(AND(U204&lt;&gt;"",AS202=""),"新規に適用",IF(AND(U204&lt;&gt;"",AS202&lt;&gt;""),"継続で適用",""))</f>
        <v/>
      </c>
      <c r="AT204" s="1331"/>
      <c r="AU204" s="651"/>
      <c r="AV204" s="1493" t="str">
        <f>IF(K202&lt;&gt;"","V列に色付け","")</f>
        <v/>
      </c>
      <c r="AW204" s="1518"/>
      <c r="AX204" s="1507"/>
      <c r="AY204" s="163"/>
      <c r="AZ204" s="163"/>
      <c r="BA204" s="163"/>
      <c r="BB204" s="163"/>
      <c r="BC204" s="163"/>
      <c r="BD204" s="163"/>
      <c r="BE204" s="163"/>
      <c r="BF204" s="163"/>
      <c r="BG204" s="163"/>
      <c r="BH204" s="163"/>
      <c r="BI204" s="163"/>
      <c r="BJ204" s="163"/>
      <c r="BK204" s="163"/>
      <c r="BL204" s="543" t="str">
        <f>G202</f>
        <v/>
      </c>
    </row>
    <row r="205" spans="1:64" ht="30" customHeight="1" thickBot="1">
      <c r="A205" s="1227"/>
      <c r="B205" s="1376"/>
      <c r="C205" s="1377"/>
      <c r="D205" s="1377"/>
      <c r="E205" s="1377"/>
      <c r="F205" s="1378"/>
      <c r="G205" s="1267"/>
      <c r="H205" s="1267"/>
      <c r="I205" s="1267"/>
      <c r="J205" s="1373"/>
      <c r="K205" s="1267"/>
      <c r="L205" s="1248"/>
      <c r="M205" s="1375"/>
      <c r="N205" s="650" t="str">
        <f>IF('別紙様式2-2（４・５月分）'!Q157="","",'別紙様式2-2（４・５月分）'!Q157)</f>
        <v/>
      </c>
      <c r="O205" s="1369"/>
      <c r="P205" s="1391"/>
      <c r="Q205" s="1387"/>
      <c r="R205" s="1389"/>
      <c r="S205" s="1395"/>
      <c r="T205" s="1460"/>
      <c r="U205" s="1462"/>
      <c r="V205" s="1464"/>
      <c r="W205" s="1466"/>
      <c r="X205" s="1509"/>
      <c r="Y205" s="1408"/>
      <c r="Z205" s="1509"/>
      <c r="AA205" s="1408"/>
      <c r="AB205" s="1509"/>
      <c r="AC205" s="1408"/>
      <c r="AD205" s="1509"/>
      <c r="AE205" s="1408"/>
      <c r="AF205" s="1408"/>
      <c r="AG205" s="1408"/>
      <c r="AH205" s="1410"/>
      <c r="AI205" s="1497"/>
      <c r="AJ205" s="1511"/>
      <c r="AK205" s="1495"/>
      <c r="AL205" s="1436"/>
      <c r="AM205" s="1499"/>
      <c r="AN205" s="1357"/>
      <c r="AO205" s="1357"/>
      <c r="AP205" s="1359"/>
      <c r="AQ205" s="1357"/>
      <c r="AR205" s="1345"/>
      <c r="AS205" s="1357"/>
      <c r="AT205" s="581" t="str">
        <f t="shared" ref="AT205" si="196">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51"/>
      <c r="AV205" s="1493"/>
      <c r="AW205" s="652" t="str">
        <f>IF('別紙様式2-2（４・５月分）'!O157="","",'別紙様式2-2（４・５月分）'!O157)</f>
        <v/>
      </c>
      <c r="AX205" s="1507"/>
      <c r="AY205" s="163"/>
      <c r="AZ205" s="163"/>
      <c r="BA205" s="163"/>
      <c r="BB205" s="163"/>
      <c r="BC205" s="163"/>
      <c r="BD205" s="163"/>
      <c r="BE205" s="163"/>
      <c r="BF205" s="163"/>
      <c r="BG205" s="163"/>
      <c r="BH205" s="163"/>
      <c r="BI205" s="163"/>
      <c r="BJ205" s="163"/>
      <c r="BK205" s="163"/>
      <c r="BL205" s="543" t="str">
        <f>G202</f>
        <v/>
      </c>
    </row>
    <row r="206" spans="1:64" ht="30" customHeight="1">
      <c r="A206" s="1225">
        <v>49</v>
      </c>
      <c r="B206" s="1271" t="str">
        <f>IF(基本情報入力シート!C102="","",基本情報入力シート!C102)</f>
        <v/>
      </c>
      <c r="C206" s="1259"/>
      <c r="D206" s="1259"/>
      <c r="E206" s="1259"/>
      <c r="F206" s="1260"/>
      <c r="G206" s="1265" t="str">
        <f>IF(基本情報入力シート!M102="","",基本情報入力シート!M102)</f>
        <v/>
      </c>
      <c r="H206" s="1265" t="str">
        <f>IF(基本情報入力シート!R102="","",基本情報入力シート!R102)</f>
        <v/>
      </c>
      <c r="I206" s="1265" t="str">
        <f>IF(基本情報入力シート!W102="","",基本情報入力シート!W102)</f>
        <v/>
      </c>
      <c r="J206" s="1379" t="str">
        <f>IF(基本情報入力シート!X102="","",基本情報入力シート!X102)</f>
        <v/>
      </c>
      <c r="K206" s="1265" t="str">
        <f>IF(基本情報入力シート!Y102="","",基本情報入力シート!Y102)</f>
        <v/>
      </c>
      <c r="L206" s="1246" t="str">
        <f>IF(基本情報入力シート!AB102="","",基本情報入力シート!AB102)</f>
        <v/>
      </c>
      <c r="M206" s="1249" t="str">
        <f>IF(基本情報入力シート!AC102="","",基本情報入力シート!AC102)</f>
        <v/>
      </c>
      <c r="N206" s="647" t="str">
        <f>IF('別紙様式2-2（４・５月分）'!Q158="","",'別紙様式2-2（４・５月分）'!Q158)</f>
        <v/>
      </c>
      <c r="O206" s="1366" t="str">
        <f>IF(SUM('別紙様式2-2（４・５月分）'!R158:R160)=0,"",SUM('別紙様式2-2（４・５月分）'!R158:R160))</f>
        <v/>
      </c>
      <c r="P206" s="1380" t="str">
        <f>IFERROR(VLOOKUP('別紙様式2-2（４・５月分）'!AR158,【参考】数式用!$AT$5:$AU$22,2,FALSE),"")</f>
        <v/>
      </c>
      <c r="Q206" s="1381"/>
      <c r="R206" s="1382"/>
      <c r="S206" s="1392" t="str">
        <f>IFERROR(VLOOKUP(K206,【参考】数式用!$A$5:$AB$27,MATCH(P206,【参考】数式用!$B$4:$AB$4,0)+1,0),"")</f>
        <v/>
      </c>
      <c r="T206" s="1413" t="s">
        <v>2173</v>
      </c>
      <c r="U206" s="1415"/>
      <c r="V206" s="1457" t="str">
        <f>IFERROR(VLOOKUP(K206,【参考】数式用!$A$5:$AB$27,MATCH(U206,【参考】数式用!$B$4:$AB$4,0)+1,0),"")</f>
        <v/>
      </c>
      <c r="W206" s="1350" t="s">
        <v>19</v>
      </c>
      <c r="X206" s="1352">
        <v>6</v>
      </c>
      <c r="Y206" s="1354" t="s">
        <v>10</v>
      </c>
      <c r="Z206" s="1352">
        <v>6</v>
      </c>
      <c r="AA206" s="1354" t="s">
        <v>45</v>
      </c>
      <c r="AB206" s="1352">
        <v>7</v>
      </c>
      <c r="AC206" s="1354" t="s">
        <v>10</v>
      </c>
      <c r="AD206" s="1352">
        <v>3</v>
      </c>
      <c r="AE206" s="1354" t="s">
        <v>13</v>
      </c>
      <c r="AF206" s="1354" t="s">
        <v>24</v>
      </c>
      <c r="AG206" s="1354">
        <f>IF(X206&gt;=1,(AB206*12+AD206)-(X206*12+Z206)+1,"")</f>
        <v>10</v>
      </c>
      <c r="AH206" s="1360" t="s">
        <v>38</v>
      </c>
      <c r="AI206" s="1481" t="str">
        <f>IFERROR(ROUNDDOWN(ROUND(L206*V206,0)*M206,0)*AG206,"")</f>
        <v/>
      </c>
      <c r="AJ206" s="1483" t="str">
        <f>IFERROR(ROUNDDOWN(ROUND((L206*(V206-AX206)),0)*M206,0)*AG206,"")</f>
        <v/>
      </c>
      <c r="AK206" s="1485">
        <f>IFERROR(IF(OR(N206="",N207="",N209=""),0,ROUNDDOWN(ROUNDDOWN(ROUND(L206*VLOOKUP(K206,【参考】数式用!$A$5:$AB$27,MATCH("新加算Ⅳ",【参考】数式用!$B$4:$AB$4,0)+1,0),0)*M206,0)*AG206*0.5,0)),"")</f>
        <v>0</v>
      </c>
      <c r="AL206" s="1433"/>
      <c r="AM206" s="1487">
        <f>IFERROR(IF(OR(N209="ベア加算",N209=""),0, IF(OR(U206="新加算Ⅰ",U206="新加算Ⅱ",U206="新加算Ⅲ",U206="新加算Ⅳ"),ROUNDDOWN(ROUND(L206*VLOOKUP(K206,【参考】数式用!$A$5:$I$27,MATCH("ベア加算",【参考】数式用!$B$4:$I$4,0)+1,0),0)*M206,0)*AG206,0)),"")</f>
        <v>0</v>
      </c>
      <c r="AN206" s="1502"/>
      <c r="AO206" s="1364"/>
      <c r="AP206" s="1403"/>
      <c r="AQ206" s="1403"/>
      <c r="AR206" s="1489"/>
      <c r="AS206" s="1491"/>
      <c r="AT206" s="556" t="str">
        <f t="shared" si="134"/>
        <v/>
      </c>
      <c r="AU206" s="651"/>
      <c r="AV206" s="1493" t="str">
        <f>IF(K206&lt;&gt;"","V列に色付け","")</f>
        <v/>
      </c>
      <c r="AW206" s="652" t="str">
        <f>IF('別紙様式2-2（４・５月分）'!O158="","",'別紙様式2-2（４・５月分）'!O158)</f>
        <v/>
      </c>
      <c r="AX206" s="1507" t="str">
        <f>IF(SUM('別紙様式2-2（４・５月分）'!P158:P160)=0,"",SUM('別紙様式2-2（４・５月分）'!P158:P160))</f>
        <v/>
      </c>
      <c r="AY206" s="1506" t="str">
        <f>IFERROR(VLOOKUP(K206,【参考】数式用!$AJ$2:$AK$24,2,FALSE),"")</f>
        <v/>
      </c>
      <c r="AZ206" s="1321" t="s">
        <v>2098</v>
      </c>
      <c r="BA206" s="1321" t="s">
        <v>2099</v>
      </c>
      <c r="BB206" s="1321" t="s">
        <v>2100</v>
      </c>
      <c r="BC206" s="1321" t="s">
        <v>2101</v>
      </c>
      <c r="BD206" s="1321" t="str">
        <f>IF(AND(P206&lt;&gt;"新加算Ⅰ",P206&lt;&gt;"新加算Ⅱ",P206&lt;&gt;"新加算Ⅲ",P206&lt;&gt;"新加算Ⅳ"),P206,IF(Q208&lt;&gt;"",Q208,""))</f>
        <v/>
      </c>
      <c r="BE206" s="1321"/>
      <c r="BF206" s="1321" t="str">
        <f t="shared" ref="BF206" si="197">IF(AM206&lt;&gt;0,IF(AN206="○","入力済","未入力"),"")</f>
        <v/>
      </c>
      <c r="BG206" s="1321"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321" t="str">
        <f>IF(OR(U206="新加算Ⅴ（７）",U206="新加算Ⅴ（９）",U206="新加算Ⅴ（10）",U206="新加算Ⅴ（12）",U206="新加算Ⅴ（13）",U206="新加算Ⅴ（14）"),IF(OR(AP206="○",AP206="令和６年度中に満たす"),"入力済","未入力"),"")</f>
        <v/>
      </c>
      <c r="BI206" s="1321" t="str">
        <f>IF(OR(U206="新加算Ⅰ",U206="新加算Ⅱ",U206="新加算Ⅲ",U206="新加算Ⅴ（１）",U206="新加算Ⅴ（３）",U206="新加算Ⅴ（８）"),IF(OR(AQ206="○",AQ206="令和６年度中に満たす"),"入力済","未入力"),"")</f>
        <v/>
      </c>
      <c r="BJ206" s="1512"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493" t="str">
        <f>IF(OR(U206="新加算Ⅰ",U206="新加算Ⅴ（１）",U206="新加算Ⅴ（２）",U206="新加算Ⅴ（５）",U206="新加算Ⅴ（７）",U206="新加算Ⅴ（10）"),IF(AS206="","未入力","入力済"),"")</f>
        <v/>
      </c>
      <c r="BL206" s="543" t="str">
        <f>G206</f>
        <v/>
      </c>
    </row>
    <row r="207" spans="1:64" ht="15" customHeight="1">
      <c r="A207" s="1226"/>
      <c r="B207" s="1272"/>
      <c r="C207" s="1261"/>
      <c r="D207" s="1261"/>
      <c r="E207" s="1261"/>
      <c r="F207" s="1262"/>
      <c r="G207" s="1266"/>
      <c r="H207" s="1266"/>
      <c r="I207" s="1266"/>
      <c r="J207" s="1372"/>
      <c r="K207" s="1266"/>
      <c r="L207" s="1247"/>
      <c r="M207" s="1250"/>
      <c r="N207" s="1370" t="str">
        <f>IF('別紙様式2-2（４・５月分）'!Q159="","",'別紙様式2-2（４・５月分）'!Q159)</f>
        <v/>
      </c>
      <c r="O207" s="1367"/>
      <c r="P207" s="1383"/>
      <c r="Q207" s="1384"/>
      <c r="R207" s="1385"/>
      <c r="S207" s="1393"/>
      <c r="T207" s="1414"/>
      <c r="U207" s="1416"/>
      <c r="V207" s="1458"/>
      <c r="W207" s="1351"/>
      <c r="X207" s="1353"/>
      <c r="Y207" s="1355"/>
      <c r="Z207" s="1353"/>
      <c r="AA207" s="1355"/>
      <c r="AB207" s="1353"/>
      <c r="AC207" s="1355"/>
      <c r="AD207" s="1353"/>
      <c r="AE207" s="1355"/>
      <c r="AF207" s="1355"/>
      <c r="AG207" s="1355"/>
      <c r="AH207" s="1361"/>
      <c r="AI207" s="1482"/>
      <c r="AJ207" s="1484"/>
      <c r="AK207" s="1486"/>
      <c r="AL207" s="1434"/>
      <c r="AM207" s="1488"/>
      <c r="AN207" s="1503"/>
      <c r="AO207" s="1365"/>
      <c r="AP207" s="1404"/>
      <c r="AQ207" s="1404"/>
      <c r="AR207" s="1490"/>
      <c r="AS207" s="1492"/>
      <c r="AT207" s="1331" t="str">
        <f t="shared" si="136"/>
        <v/>
      </c>
      <c r="AU207" s="651"/>
      <c r="AV207" s="1493"/>
      <c r="AW207" s="1518" t="str">
        <f>IF('別紙様式2-2（４・５月分）'!O159="","",'別紙様式2-2（４・５月分）'!O159)</f>
        <v/>
      </c>
      <c r="AX207" s="1507"/>
      <c r="AY207" s="1506"/>
      <c r="AZ207" s="1321"/>
      <c r="BA207" s="1321"/>
      <c r="BB207" s="1321"/>
      <c r="BC207" s="1321"/>
      <c r="BD207" s="1321"/>
      <c r="BE207" s="1321"/>
      <c r="BF207" s="1321"/>
      <c r="BG207" s="1321"/>
      <c r="BH207" s="1321"/>
      <c r="BI207" s="1321"/>
      <c r="BJ207" s="1512"/>
      <c r="BK207" s="1493"/>
      <c r="BL207" s="543" t="str">
        <f>G206</f>
        <v/>
      </c>
    </row>
    <row r="208" spans="1:64" ht="15" customHeight="1">
      <c r="A208" s="1240"/>
      <c r="B208" s="1272"/>
      <c r="C208" s="1261"/>
      <c r="D208" s="1261"/>
      <c r="E208" s="1261"/>
      <c r="F208" s="1262"/>
      <c r="G208" s="1266"/>
      <c r="H208" s="1266"/>
      <c r="I208" s="1266"/>
      <c r="J208" s="1372"/>
      <c r="K208" s="1266"/>
      <c r="L208" s="1247"/>
      <c r="M208" s="1250"/>
      <c r="N208" s="1371"/>
      <c r="O208" s="1368"/>
      <c r="P208" s="1390" t="s">
        <v>2179</v>
      </c>
      <c r="Q208" s="1386" t="str">
        <f>IFERROR(VLOOKUP('別紙様式2-2（４・５月分）'!AR158,【参考】数式用!$AT$5:$AV$22,3,FALSE),"")</f>
        <v/>
      </c>
      <c r="R208" s="1388" t="s">
        <v>2190</v>
      </c>
      <c r="S208" s="1396" t="str">
        <f>IFERROR(VLOOKUP(K206,【参考】数式用!$A$5:$AB$27,MATCH(Q208,【参考】数式用!$B$4:$AB$4,0)+1,0),"")</f>
        <v/>
      </c>
      <c r="T208" s="1459" t="s">
        <v>217</v>
      </c>
      <c r="U208" s="1461"/>
      <c r="V208" s="1463" t="str">
        <f>IFERROR(VLOOKUP(K206,【参考】数式用!$A$5:$AB$27,MATCH(U208,【参考】数式用!$B$4:$AB$4,0)+1,0),"")</f>
        <v/>
      </c>
      <c r="W208" s="1465" t="s">
        <v>19</v>
      </c>
      <c r="X208" s="1508">
        <v>7</v>
      </c>
      <c r="Y208" s="1407" t="s">
        <v>10</v>
      </c>
      <c r="Z208" s="1508">
        <v>4</v>
      </c>
      <c r="AA208" s="1407" t="s">
        <v>45</v>
      </c>
      <c r="AB208" s="1508">
        <v>8</v>
      </c>
      <c r="AC208" s="1407" t="s">
        <v>10</v>
      </c>
      <c r="AD208" s="1508">
        <v>3</v>
      </c>
      <c r="AE208" s="1407" t="s">
        <v>13</v>
      </c>
      <c r="AF208" s="1407" t="s">
        <v>24</v>
      </c>
      <c r="AG208" s="1407">
        <f>IF(X208&gt;=1,(AB208*12+AD208)-(X208*12+Z208)+1,"")</f>
        <v>12</v>
      </c>
      <c r="AH208" s="1409" t="s">
        <v>38</v>
      </c>
      <c r="AI208" s="1496" t="str">
        <f>IFERROR(ROUNDDOWN(ROUND(L206*V208,0)*M206,0)*AG208,"")</f>
        <v/>
      </c>
      <c r="AJ208" s="1510" t="str">
        <f>IFERROR(ROUNDDOWN(ROUND((L206*(V208-AX206)),0)*M206,0)*AG208,"")</f>
        <v/>
      </c>
      <c r="AK208" s="1494">
        <f>IFERROR(IF(OR(N206="",N207="",N209=""),0,ROUNDDOWN(ROUNDDOWN(ROUND(L206*VLOOKUP(K206,【参考】数式用!$A$5:$AB$27,MATCH("新加算Ⅳ",【参考】数式用!$B$4:$AB$4,0)+1,0),0)*M206,0)*AG208*0.5,0)),"")</f>
        <v>0</v>
      </c>
      <c r="AL208" s="1435" t="str">
        <f t="shared" ref="AL208" si="198">IF(U208&lt;&gt;"","新規に適用","")</f>
        <v/>
      </c>
      <c r="AM208" s="1498">
        <f>IFERROR(IF(OR(N209="ベア加算",N209=""),0, IF(OR(U206="新加算Ⅰ",U206="新加算Ⅱ",U206="新加算Ⅲ",U206="新加算Ⅳ"),0,ROUNDDOWN(ROUND(L206*VLOOKUP(K206,【参考】数式用!$A$5:$I$27,MATCH("ベア加算",【参考】数式用!$B$4:$I$4,0)+1,0),0)*M206,0)*AG208)),"")</f>
        <v>0</v>
      </c>
      <c r="AN208" s="1356" t="str">
        <f t="shared" ref="AN208" si="199">IF(AM208=0,"",IF(AND(U208&lt;&gt;"",AN206=""),"新規に適用",IF(AND(U208&lt;&gt;"",AN206&lt;&gt;""),"継続で適用","")))</f>
        <v/>
      </c>
      <c r="AO208" s="1356" t="str">
        <f>IF(AND(U208&lt;&gt;"",AO206=""),"新規に適用",IF(AND(U208&lt;&gt;"",AO206&lt;&gt;""),"継続で適用",""))</f>
        <v/>
      </c>
      <c r="AP208" s="1358"/>
      <c r="AQ208" s="1356" t="str">
        <f>IF(AND(U208&lt;&gt;"",AQ206=""),"新規に適用",IF(AND(U208&lt;&gt;"",AQ206&lt;&gt;""),"継続で適用",""))</f>
        <v/>
      </c>
      <c r="AR208" s="1344" t="str">
        <f t="shared" si="159"/>
        <v/>
      </c>
      <c r="AS208" s="1356" t="str">
        <f>IF(AND(U208&lt;&gt;"",AS206=""),"新規に適用",IF(AND(U208&lt;&gt;"",AS206&lt;&gt;""),"継続で適用",""))</f>
        <v/>
      </c>
      <c r="AT208" s="1331"/>
      <c r="AU208" s="651"/>
      <c r="AV208" s="1493" t="str">
        <f>IF(K206&lt;&gt;"","V列に色付け","")</f>
        <v/>
      </c>
      <c r="AW208" s="1518"/>
      <c r="AX208" s="1507"/>
      <c r="AY208" s="163"/>
      <c r="AZ208" s="163"/>
      <c r="BA208" s="163"/>
      <c r="BB208" s="163"/>
      <c r="BC208" s="163"/>
      <c r="BD208" s="163"/>
      <c r="BE208" s="163"/>
      <c r="BF208" s="163"/>
      <c r="BG208" s="163"/>
      <c r="BH208" s="163"/>
      <c r="BI208" s="163"/>
      <c r="BJ208" s="163"/>
      <c r="BK208" s="163"/>
      <c r="BL208" s="543" t="str">
        <f>G206</f>
        <v/>
      </c>
    </row>
    <row r="209" spans="1:64" ht="30" customHeight="1" thickBot="1">
      <c r="A209" s="1227"/>
      <c r="B209" s="1376"/>
      <c r="C209" s="1377"/>
      <c r="D209" s="1377"/>
      <c r="E209" s="1377"/>
      <c r="F209" s="1378"/>
      <c r="G209" s="1267"/>
      <c r="H209" s="1267"/>
      <c r="I209" s="1267"/>
      <c r="J209" s="1373"/>
      <c r="K209" s="1267"/>
      <c r="L209" s="1248"/>
      <c r="M209" s="1251"/>
      <c r="N209" s="650" t="str">
        <f>IF('別紙様式2-2（４・５月分）'!Q160="","",'別紙様式2-2（４・５月分）'!Q160)</f>
        <v/>
      </c>
      <c r="O209" s="1369"/>
      <c r="P209" s="1391"/>
      <c r="Q209" s="1387"/>
      <c r="R209" s="1389"/>
      <c r="S209" s="1395"/>
      <c r="T209" s="1460"/>
      <c r="U209" s="1462"/>
      <c r="V209" s="1464"/>
      <c r="W209" s="1466"/>
      <c r="X209" s="1509"/>
      <c r="Y209" s="1408"/>
      <c r="Z209" s="1509"/>
      <c r="AA209" s="1408"/>
      <c r="AB209" s="1509"/>
      <c r="AC209" s="1408"/>
      <c r="AD209" s="1509"/>
      <c r="AE209" s="1408"/>
      <c r="AF209" s="1408"/>
      <c r="AG209" s="1408"/>
      <c r="AH209" s="1410"/>
      <c r="AI209" s="1497"/>
      <c r="AJ209" s="1511"/>
      <c r="AK209" s="1495"/>
      <c r="AL209" s="1436"/>
      <c r="AM209" s="1499"/>
      <c r="AN209" s="1357"/>
      <c r="AO209" s="1357"/>
      <c r="AP209" s="1359"/>
      <c r="AQ209" s="1357"/>
      <c r="AR209" s="1345"/>
      <c r="AS209" s="1357"/>
      <c r="AT209" s="581" t="str">
        <f t="shared" ref="AT209" si="200">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51"/>
      <c r="AV209" s="1493"/>
      <c r="AW209" s="652" t="str">
        <f>IF('別紙様式2-2（４・５月分）'!O160="","",'別紙様式2-2（４・５月分）'!O160)</f>
        <v/>
      </c>
      <c r="AX209" s="1507"/>
      <c r="AY209" s="163"/>
      <c r="AZ209" s="163"/>
      <c r="BA209" s="163"/>
      <c r="BB209" s="163"/>
      <c r="BC209" s="163"/>
      <c r="BD209" s="163"/>
      <c r="BE209" s="163"/>
      <c r="BF209" s="163"/>
      <c r="BG209" s="163"/>
      <c r="BH209" s="163"/>
      <c r="BI209" s="163"/>
      <c r="BJ209" s="163"/>
      <c r="BK209" s="163"/>
      <c r="BL209" s="543" t="str">
        <f>G206</f>
        <v/>
      </c>
    </row>
    <row r="210" spans="1:64" ht="30" customHeight="1">
      <c r="A210" s="1241">
        <v>50</v>
      </c>
      <c r="B210" s="1272" t="str">
        <f>IF(基本情報入力シート!C103="","",基本情報入力シート!C103)</f>
        <v/>
      </c>
      <c r="C210" s="1261"/>
      <c r="D210" s="1261"/>
      <c r="E210" s="1261"/>
      <c r="F210" s="1262"/>
      <c r="G210" s="1266" t="str">
        <f>IF(基本情報入力シート!M103="","",基本情報入力シート!M103)</f>
        <v/>
      </c>
      <c r="H210" s="1266" t="str">
        <f>IF(基本情報入力シート!R103="","",基本情報入力シート!R103)</f>
        <v/>
      </c>
      <c r="I210" s="1266" t="str">
        <f>IF(基本情報入力シート!W103="","",基本情報入力シート!W103)</f>
        <v/>
      </c>
      <c r="J210" s="1372" t="str">
        <f>IF(基本情報入力シート!X103="","",基本情報入力シート!X103)</f>
        <v/>
      </c>
      <c r="K210" s="1266" t="str">
        <f>IF(基本情報入力シート!Y103="","",基本情報入力シート!Y103)</f>
        <v/>
      </c>
      <c r="L210" s="1247" t="str">
        <f>IF(基本情報入力シート!AB103="","",基本情報入力シート!AB103)</f>
        <v/>
      </c>
      <c r="M210" s="1374" t="str">
        <f>IF(基本情報入力シート!AC103="","",基本情報入力シート!AC103)</f>
        <v/>
      </c>
      <c r="N210" s="647" t="str">
        <f>IF('別紙様式2-2（４・５月分）'!Q161="","",'別紙様式2-2（４・５月分）'!Q161)</f>
        <v/>
      </c>
      <c r="O210" s="1366" t="str">
        <f>IF(SUM('別紙様式2-2（４・５月分）'!R161:R163)=0,"",SUM('別紙様式2-2（４・５月分）'!R161:R163))</f>
        <v/>
      </c>
      <c r="P210" s="1380" t="str">
        <f>IFERROR(VLOOKUP('別紙様式2-2（４・５月分）'!AR161,【参考】数式用!$AT$5:$AU$22,2,FALSE),"")</f>
        <v/>
      </c>
      <c r="Q210" s="1381"/>
      <c r="R210" s="1382"/>
      <c r="S210" s="1392" t="str">
        <f>IFERROR(VLOOKUP(K210,【参考】数式用!$A$5:$AB$27,MATCH(P210,【参考】数式用!$B$4:$AB$4,0)+1,0),"")</f>
        <v/>
      </c>
      <c r="T210" s="1413" t="s">
        <v>2173</v>
      </c>
      <c r="U210" s="1415"/>
      <c r="V210" s="1457" t="str">
        <f>IFERROR(VLOOKUP(K210,【参考】数式用!$A$5:$AB$27,MATCH(U210,【参考】数式用!$B$4:$AB$4,0)+1,0),"")</f>
        <v/>
      </c>
      <c r="W210" s="1350" t="s">
        <v>19</v>
      </c>
      <c r="X210" s="1352">
        <v>6</v>
      </c>
      <c r="Y210" s="1354" t="s">
        <v>10</v>
      </c>
      <c r="Z210" s="1352">
        <v>6</v>
      </c>
      <c r="AA210" s="1354" t="s">
        <v>45</v>
      </c>
      <c r="AB210" s="1352">
        <v>7</v>
      </c>
      <c r="AC210" s="1354" t="s">
        <v>10</v>
      </c>
      <c r="AD210" s="1352">
        <v>3</v>
      </c>
      <c r="AE210" s="1354" t="s">
        <v>13</v>
      </c>
      <c r="AF210" s="1354" t="s">
        <v>24</v>
      </c>
      <c r="AG210" s="1354">
        <f>IF(X210&gt;=1,(AB210*12+AD210)-(X210*12+Z210)+1,"")</f>
        <v>10</v>
      </c>
      <c r="AH210" s="1360" t="s">
        <v>38</v>
      </c>
      <c r="AI210" s="1481" t="str">
        <f>IFERROR(ROUNDDOWN(ROUND(L210*V210,0)*M210,0)*AG210,"")</f>
        <v/>
      </c>
      <c r="AJ210" s="1483" t="str">
        <f>IFERROR(ROUNDDOWN(ROUND((L210*(V210-AX210)),0)*M210,0)*AG210,"")</f>
        <v/>
      </c>
      <c r="AK210" s="1485">
        <f>IFERROR(IF(OR(N210="",N211="",N213=""),0,ROUNDDOWN(ROUNDDOWN(ROUND(L210*VLOOKUP(K210,【参考】数式用!$A$5:$AB$27,MATCH("新加算Ⅳ",【参考】数式用!$B$4:$AB$4,0)+1,0),0)*M210,0)*AG210*0.5,0)),"")</f>
        <v>0</v>
      </c>
      <c r="AL210" s="1433"/>
      <c r="AM210" s="1487">
        <f>IFERROR(IF(OR(N213="ベア加算",N213=""),0, IF(OR(U210="新加算Ⅰ",U210="新加算Ⅱ",U210="新加算Ⅲ",U210="新加算Ⅳ"),ROUNDDOWN(ROUND(L210*VLOOKUP(K210,【参考】数式用!$A$5:$I$27,MATCH("ベア加算",【参考】数式用!$B$4:$I$4,0)+1,0),0)*M210,0)*AG210,0)),"")</f>
        <v>0</v>
      </c>
      <c r="AN210" s="1502"/>
      <c r="AO210" s="1364"/>
      <c r="AP210" s="1403"/>
      <c r="AQ210" s="1403"/>
      <c r="AR210" s="1489"/>
      <c r="AS210" s="1491"/>
      <c r="AT210" s="556" t="str">
        <f t="shared" ref="AT210:AT270" si="201">IF(AV210="","",IF(V210&lt;O210,"！加算の要件上は問題ありませんが、令和６年４・５月と比較して令和６年６月に加算率が下がる計画になっています。",""))</f>
        <v/>
      </c>
      <c r="AU210" s="651"/>
      <c r="AV210" s="1493" t="str">
        <f>IF(K210&lt;&gt;"","V列に色付け","")</f>
        <v/>
      </c>
      <c r="AW210" s="652" t="str">
        <f>IF('別紙様式2-2（４・５月分）'!O161="","",'別紙様式2-2（４・５月分）'!O161)</f>
        <v/>
      </c>
      <c r="AX210" s="1507" t="str">
        <f>IF(SUM('別紙様式2-2（４・５月分）'!P161:P163)=0,"",SUM('別紙様式2-2（４・５月分）'!P161:P163))</f>
        <v/>
      </c>
      <c r="AY210" s="1506" t="str">
        <f>IFERROR(VLOOKUP(K210,【参考】数式用!$AJ$2:$AK$24,2,FALSE),"")</f>
        <v/>
      </c>
      <c r="AZ210" s="1321" t="s">
        <v>2098</v>
      </c>
      <c r="BA210" s="1321" t="s">
        <v>2099</v>
      </c>
      <c r="BB210" s="1321" t="s">
        <v>2100</v>
      </c>
      <c r="BC210" s="1321" t="s">
        <v>2101</v>
      </c>
      <c r="BD210" s="1321" t="str">
        <f>IF(AND(P210&lt;&gt;"新加算Ⅰ",P210&lt;&gt;"新加算Ⅱ",P210&lt;&gt;"新加算Ⅲ",P210&lt;&gt;"新加算Ⅳ"),P210,IF(Q212&lt;&gt;"",Q212,""))</f>
        <v/>
      </c>
      <c r="BE210" s="1321"/>
      <c r="BF210" s="1321" t="str">
        <f t="shared" ref="BF210" si="202">IF(AM210&lt;&gt;0,IF(AN210="○","入力済","未入力"),"")</f>
        <v/>
      </c>
      <c r="BG210" s="1321"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321" t="str">
        <f>IF(OR(U210="新加算Ⅴ（７）",U210="新加算Ⅴ（９）",U210="新加算Ⅴ（10）",U210="新加算Ⅴ（12）",U210="新加算Ⅴ（13）",U210="新加算Ⅴ（14）"),IF(OR(AP210="○",AP210="令和６年度中に満たす"),"入力済","未入力"),"")</f>
        <v/>
      </c>
      <c r="BI210" s="1321" t="str">
        <f>IF(OR(U210="新加算Ⅰ",U210="新加算Ⅱ",U210="新加算Ⅲ",U210="新加算Ⅴ（１）",U210="新加算Ⅴ（３）",U210="新加算Ⅴ（８）"),IF(OR(AQ210="○",AQ210="令和６年度中に満たす"),"入力済","未入力"),"")</f>
        <v/>
      </c>
      <c r="BJ210" s="1512"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493" t="str">
        <f>IF(OR(U210="新加算Ⅰ",U210="新加算Ⅴ（１）",U210="新加算Ⅴ（２）",U210="新加算Ⅴ（５）",U210="新加算Ⅴ（７）",U210="新加算Ⅴ（10）"),IF(AS210="","未入力","入力済"),"")</f>
        <v/>
      </c>
      <c r="BL210" s="543" t="str">
        <f>G210</f>
        <v/>
      </c>
    </row>
    <row r="211" spans="1:64" ht="15" customHeight="1">
      <c r="A211" s="1226"/>
      <c r="B211" s="1272"/>
      <c r="C211" s="1261"/>
      <c r="D211" s="1261"/>
      <c r="E211" s="1261"/>
      <c r="F211" s="1262"/>
      <c r="G211" s="1266"/>
      <c r="H211" s="1266"/>
      <c r="I211" s="1266"/>
      <c r="J211" s="1372"/>
      <c r="K211" s="1266"/>
      <c r="L211" s="1247"/>
      <c r="M211" s="1374"/>
      <c r="N211" s="1370" t="str">
        <f>IF('別紙様式2-2（４・５月分）'!Q162="","",'別紙様式2-2（４・５月分）'!Q162)</f>
        <v/>
      </c>
      <c r="O211" s="1367"/>
      <c r="P211" s="1383"/>
      <c r="Q211" s="1384"/>
      <c r="R211" s="1385"/>
      <c r="S211" s="1393"/>
      <c r="T211" s="1414"/>
      <c r="U211" s="1416"/>
      <c r="V211" s="1458"/>
      <c r="W211" s="1351"/>
      <c r="X211" s="1353"/>
      <c r="Y211" s="1355"/>
      <c r="Z211" s="1353"/>
      <c r="AA211" s="1355"/>
      <c r="AB211" s="1353"/>
      <c r="AC211" s="1355"/>
      <c r="AD211" s="1353"/>
      <c r="AE211" s="1355"/>
      <c r="AF211" s="1355"/>
      <c r="AG211" s="1355"/>
      <c r="AH211" s="1361"/>
      <c r="AI211" s="1482"/>
      <c r="AJ211" s="1484"/>
      <c r="AK211" s="1486"/>
      <c r="AL211" s="1434"/>
      <c r="AM211" s="1488"/>
      <c r="AN211" s="1503"/>
      <c r="AO211" s="1365"/>
      <c r="AP211" s="1404"/>
      <c r="AQ211" s="1404"/>
      <c r="AR211" s="1490"/>
      <c r="AS211" s="1492"/>
      <c r="AT211" s="1331" t="str">
        <f t="shared" ref="AT211:AT271" si="203">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51"/>
      <c r="AV211" s="1493"/>
      <c r="AW211" s="1518" t="str">
        <f>IF('別紙様式2-2（４・５月分）'!O162="","",'別紙様式2-2（４・５月分）'!O162)</f>
        <v/>
      </c>
      <c r="AX211" s="1507"/>
      <c r="AY211" s="1506"/>
      <c r="AZ211" s="1321"/>
      <c r="BA211" s="1321"/>
      <c r="BB211" s="1321"/>
      <c r="BC211" s="1321"/>
      <c r="BD211" s="1321"/>
      <c r="BE211" s="1321"/>
      <c r="BF211" s="1321"/>
      <c r="BG211" s="1321"/>
      <c r="BH211" s="1321"/>
      <c r="BI211" s="1321"/>
      <c r="BJ211" s="1512"/>
      <c r="BK211" s="1493"/>
      <c r="BL211" s="543" t="str">
        <f>G210</f>
        <v/>
      </c>
    </row>
    <row r="212" spans="1:64" ht="15" customHeight="1">
      <c r="A212" s="1240"/>
      <c r="B212" s="1272"/>
      <c r="C212" s="1261"/>
      <c r="D212" s="1261"/>
      <c r="E212" s="1261"/>
      <c r="F212" s="1262"/>
      <c r="G212" s="1266"/>
      <c r="H212" s="1266"/>
      <c r="I212" s="1266"/>
      <c r="J212" s="1372"/>
      <c r="K212" s="1266"/>
      <c r="L212" s="1247"/>
      <c r="M212" s="1374"/>
      <c r="N212" s="1371"/>
      <c r="O212" s="1368"/>
      <c r="P212" s="1390" t="s">
        <v>2179</v>
      </c>
      <c r="Q212" s="1386" t="str">
        <f>IFERROR(VLOOKUP('別紙様式2-2（４・５月分）'!AR161,【参考】数式用!$AT$5:$AV$22,3,FALSE),"")</f>
        <v/>
      </c>
      <c r="R212" s="1388" t="s">
        <v>2190</v>
      </c>
      <c r="S212" s="1394" t="str">
        <f>IFERROR(VLOOKUP(K210,【参考】数式用!$A$5:$AB$27,MATCH(Q212,【参考】数式用!$B$4:$AB$4,0)+1,0),"")</f>
        <v/>
      </c>
      <c r="T212" s="1459" t="s">
        <v>217</v>
      </c>
      <c r="U212" s="1461"/>
      <c r="V212" s="1463" t="str">
        <f>IFERROR(VLOOKUP(K210,【参考】数式用!$A$5:$AB$27,MATCH(U212,【参考】数式用!$B$4:$AB$4,0)+1,0),"")</f>
        <v/>
      </c>
      <c r="W212" s="1465" t="s">
        <v>19</v>
      </c>
      <c r="X212" s="1508">
        <v>7</v>
      </c>
      <c r="Y212" s="1407" t="s">
        <v>10</v>
      </c>
      <c r="Z212" s="1508">
        <v>4</v>
      </c>
      <c r="AA212" s="1407" t="s">
        <v>45</v>
      </c>
      <c r="AB212" s="1508">
        <v>8</v>
      </c>
      <c r="AC212" s="1407" t="s">
        <v>10</v>
      </c>
      <c r="AD212" s="1508">
        <v>3</v>
      </c>
      <c r="AE212" s="1407" t="s">
        <v>13</v>
      </c>
      <c r="AF212" s="1407" t="s">
        <v>24</v>
      </c>
      <c r="AG212" s="1407">
        <f>IF(X212&gt;=1,(AB212*12+AD212)-(X212*12+Z212)+1,"")</f>
        <v>12</v>
      </c>
      <c r="AH212" s="1409" t="s">
        <v>38</v>
      </c>
      <c r="AI212" s="1496" t="str">
        <f>IFERROR(ROUNDDOWN(ROUND(L210*V212,0)*M210,0)*AG212,"")</f>
        <v/>
      </c>
      <c r="AJ212" s="1510" t="str">
        <f>IFERROR(ROUNDDOWN(ROUND((L210*(V212-AX210)),0)*M210,0)*AG212,"")</f>
        <v/>
      </c>
      <c r="AK212" s="1494">
        <f>IFERROR(IF(OR(N210="",N211="",N213=""),0,ROUNDDOWN(ROUNDDOWN(ROUND(L210*VLOOKUP(K210,【参考】数式用!$A$5:$AB$27,MATCH("新加算Ⅳ",【参考】数式用!$B$4:$AB$4,0)+1,0),0)*M210,0)*AG212*0.5,0)),"")</f>
        <v>0</v>
      </c>
      <c r="AL212" s="1435" t="str">
        <f t="shared" ref="AL212" si="204">IF(U212&lt;&gt;"","新規に適用","")</f>
        <v/>
      </c>
      <c r="AM212" s="1498">
        <f>IFERROR(IF(OR(N213="ベア加算",N213=""),0, IF(OR(U210="新加算Ⅰ",U210="新加算Ⅱ",U210="新加算Ⅲ",U210="新加算Ⅳ"),0,ROUNDDOWN(ROUND(L210*VLOOKUP(K210,【参考】数式用!$A$5:$I$27,MATCH("ベア加算",【参考】数式用!$B$4:$I$4,0)+1,0),0)*M210,0)*AG212)),"")</f>
        <v>0</v>
      </c>
      <c r="AN212" s="1356" t="str">
        <f t="shared" ref="AN212" si="205">IF(AM212=0,"",IF(AND(U212&lt;&gt;"",AN210=""),"新規に適用",IF(AND(U212&lt;&gt;"",AN210&lt;&gt;""),"継続で適用","")))</f>
        <v/>
      </c>
      <c r="AO212" s="1356" t="str">
        <f>IF(AND(U212&lt;&gt;"",AO210=""),"新規に適用",IF(AND(U212&lt;&gt;"",AO210&lt;&gt;""),"継続で適用",""))</f>
        <v/>
      </c>
      <c r="AP212" s="1358"/>
      <c r="AQ212" s="1356" t="str">
        <f>IF(AND(U212&lt;&gt;"",AQ210=""),"新規に適用",IF(AND(U212&lt;&gt;"",AQ210&lt;&gt;""),"継続で適用",""))</f>
        <v/>
      </c>
      <c r="AR212" s="1344" t="str">
        <f t="shared" si="159"/>
        <v/>
      </c>
      <c r="AS212" s="1356" t="str">
        <f>IF(AND(U212&lt;&gt;"",AS210=""),"新規に適用",IF(AND(U212&lt;&gt;"",AS210&lt;&gt;""),"継続で適用",""))</f>
        <v/>
      </c>
      <c r="AT212" s="1331"/>
      <c r="AU212" s="651"/>
      <c r="AV212" s="1493" t="str">
        <f>IF(K210&lt;&gt;"","V列に色付け","")</f>
        <v/>
      </c>
      <c r="AW212" s="1518"/>
      <c r="AX212" s="1507"/>
      <c r="AY212" s="163"/>
      <c r="AZ212" s="163"/>
      <c r="BA212" s="163"/>
      <c r="BB212" s="163"/>
      <c r="BC212" s="163"/>
      <c r="BD212" s="163"/>
      <c r="BE212" s="163"/>
      <c r="BF212" s="163"/>
      <c r="BG212" s="163"/>
      <c r="BH212" s="163"/>
      <c r="BI212" s="163"/>
      <c r="BJ212" s="163"/>
      <c r="BK212" s="163"/>
      <c r="BL212" s="543" t="str">
        <f>G210</f>
        <v/>
      </c>
    </row>
    <row r="213" spans="1:64" ht="30" customHeight="1" thickBot="1">
      <c r="A213" s="1227"/>
      <c r="B213" s="1376"/>
      <c r="C213" s="1377"/>
      <c r="D213" s="1377"/>
      <c r="E213" s="1377"/>
      <c r="F213" s="1378"/>
      <c r="G213" s="1267"/>
      <c r="H213" s="1267"/>
      <c r="I213" s="1267"/>
      <c r="J213" s="1373"/>
      <c r="K213" s="1267"/>
      <c r="L213" s="1248"/>
      <c r="M213" s="1375"/>
      <c r="N213" s="650" t="str">
        <f>IF('別紙様式2-2（４・５月分）'!Q163="","",'別紙様式2-2（４・５月分）'!Q163)</f>
        <v/>
      </c>
      <c r="O213" s="1369"/>
      <c r="P213" s="1391"/>
      <c r="Q213" s="1387"/>
      <c r="R213" s="1389"/>
      <c r="S213" s="1395"/>
      <c r="T213" s="1460"/>
      <c r="U213" s="1462"/>
      <c r="V213" s="1464"/>
      <c r="W213" s="1466"/>
      <c r="X213" s="1509"/>
      <c r="Y213" s="1408"/>
      <c r="Z213" s="1509"/>
      <c r="AA213" s="1408"/>
      <c r="AB213" s="1509"/>
      <c r="AC213" s="1408"/>
      <c r="AD213" s="1509"/>
      <c r="AE213" s="1408"/>
      <c r="AF213" s="1408"/>
      <c r="AG213" s="1408"/>
      <c r="AH213" s="1410"/>
      <c r="AI213" s="1497"/>
      <c r="AJ213" s="1511"/>
      <c r="AK213" s="1495"/>
      <c r="AL213" s="1436"/>
      <c r="AM213" s="1499"/>
      <c r="AN213" s="1357"/>
      <c r="AO213" s="1357"/>
      <c r="AP213" s="1359"/>
      <c r="AQ213" s="1357"/>
      <c r="AR213" s="1345"/>
      <c r="AS213" s="1357"/>
      <c r="AT213" s="581" t="str">
        <f t="shared" ref="AT213" si="206">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51"/>
      <c r="AV213" s="1493"/>
      <c r="AW213" s="652" t="str">
        <f>IF('別紙様式2-2（４・５月分）'!O163="","",'別紙様式2-2（４・５月分）'!O163)</f>
        <v/>
      </c>
      <c r="AX213" s="1507"/>
      <c r="AY213" s="163"/>
      <c r="AZ213" s="163"/>
      <c r="BA213" s="163"/>
      <c r="BB213" s="163"/>
      <c r="BC213" s="163"/>
      <c r="BD213" s="163"/>
      <c r="BE213" s="163"/>
      <c r="BF213" s="163"/>
      <c r="BG213" s="163"/>
      <c r="BH213" s="163"/>
      <c r="BI213" s="163"/>
      <c r="BJ213" s="163"/>
      <c r="BK213" s="163"/>
      <c r="BL213" s="543" t="str">
        <f>G210</f>
        <v/>
      </c>
    </row>
    <row r="214" spans="1:64" ht="30" customHeight="1">
      <c r="A214" s="1225">
        <v>51</v>
      </c>
      <c r="B214" s="1271" t="str">
        <f>IF(基本情報入力シート!C104="","",基本情報入力シート!C104)</f>
        <v/>
      </c>
      <c r="C214" s="1259"/>
      <c r="D214" s="1259"/>
      <c r="E214" s="1259"/>
      <c r="F214" s="1260"/>
      <c r="G214" s="1265" t="str">
        <f>IF(基本情報入力シート!M104="","",基本情報入力シート!M104)</f>
        <v/>
      </c>
      <c r="H214" s="1265" t="str">
        <f>IF(基本情報入力シート!R104="","",基本情報入力シート!R104)</f>
        <v/>
      </c>
      <c r="I214" s="1265" t="str">
        <f>IF(基本情報入力シート!W104="","",基本情報入力シート!W104)</f>
        <v/>
      </c>
      <c r="J214" s="1379" t="str">
        <f>IF(基本情報入力シート!X104="","",基本情報入力シート!X104)</f>
        <v/>
      </c>
      <c r="K214" s="1265" t="str">
        <f>IF(基本情報入力シート!Y104="","",基本情報入力シート!Y104)</f>
        <v/>
      </c>
      <c r="L214" s="1246" t="str">
        <f>IF(基本情報入力シート!AB104="","",基本情報入力シート!AB104)</f>
        <v/>
      </c>
      <c r="M214" s="1249" t="str">
        <f>IF(基本情報入力シート!AC104="","",基本情報入力シート!AC104)</f>
        <v/>
      </c>
      <c r="N214" s="647" t="str">
        <f>IF('別紙様式2-2（４・５月分）'!Q164="","",'別紙様式2-2（４・５月分）'!Q164)</f>
        <v/>
      </c>
      <c r="O214" s="1366" t="str">
        <f>IF(SUM('別紙様式2-2（４・５月分）'!R164:R166)=0,"",SUM('別紙様式2-2（４・５月分）'!R164:R166))</f>
        <v/>
      </c>
      <c r="P214" s="1380" t="str">
        <f>IFERROR(VLOOKUP('別紙様式2-2（４・５月分）'!AR164,【参考】数式用!$AT$5:$AU$22,2,FALSE),"")</f>
        <v/>
      </c>
      <c r="Q214" s="1381"/>
      <c r="R214" s="1382"/>
      <c r="S214" s="1392" t="str">
        <f>IFERROR(VLOOKUP(K214,【参考】数式用!$A$5:$AB$27,MATCH(P214,【参考】数式用!$B$4:$AB$4,0)+1,0),"")</f>
        <v/>
      </c>
      <c r="T214" s="1413" t="s">
        <v>2173</v>
      </c>
      <c r="U214" s="1415"/>
      <c r="V214" s="1457" t="str">
        <f>IFERROR(VLOOKUP(K214,【参考】数式用!$A$5:$AB$27,MATCH(U214,【参考】数式用!$B$4:$AB$4,0)+1,0),"")</f>
        <v/>
      </c>
      <c r="W214" s="1350" t="s">
        <v>19</v>
      </c>
      <c r="X214" s="1352">
        <v>6</v>
      </c>
      <c r="Y214" s="1354" t="s">
        <v>10</v>
      </c>
      <c r="Z214" s="1352">
        <v>6</v>
      </c>
      <c r="AA214" s="1354" t="s">
        <v>45</v>
      </c>
      <c r="AB214" s="1352">
        <v>7</v>
      </c>
      <c r="AC214" s="1354" t="s">
        <v>10</v>
      </c>
      <c r="AD214" s="1352">
        <v>3</v>
      </c>
      <c r="AE214" s="1354" t="s">
        <v>13</v>
      </c>
      <c r="AF214" s="1354" t="s">
        <v>24</v>
      </c>
      <c r="AG214" s="1354">
        <f>IF(X214&gt;=1,(AB214*12+AD214)-(X214*12+Z214)+1,"")</f>
        <v>10</v>
      </c>
      <c r="AH214" s="1360" t="s">
        <v>38</v>
      </c>
      <c r="AI214" s="1481" t="str">
        <f>IFERROR(ROUNDDOWN(ROUND(L214*V214,0)*M214,0)*AG214,"")</f>
        <v/>
      </c>
      <c r="AJ214" s="1483" t="str">
        <f>IFERROR(ROUNDDOWN(ROUND((L214*(V214-AX214)),0)*M214,0)*AG214,"")</f>
        <v/>
      </c>
      <c r="AK214" s="1485">
        <f>IFERROR(IF(OR(N214="",N215="",N217=""),0,ROUNDDOWN(ROUNDDOWN(ROUND(L214*VLOOKUP(K214,【参考】数式用!$A$5:$AB$27,MATCH("新加算Ⅳ",【参考】数式用!$B$4:$AB$4,0)+1,0),0)*M214,0)*AG214*0.5,0)),"")</f>
        <v>0</v>
      </c>
      <c r="AL214" s="1433"/>
      <c r="AM214" s="1487">
        <f>IFERROR(IF(OR(N217="ベア加算",N217=""),0, IF(OR(U214="新加算Ⅰ",U214="新加算Ⅱ",U214="新加算Ⅲ",U214="新加算Ⅳ"),ROUNDDOWN(ROUND(L214*VLOOKUP(K214,【参考】数式用!$A$5:$I$27,MATCH("ベア加算",【参考】数式用!$B$4:$I$4,0)+1,0),0)*M214,0)*AG214,0)),"")</f>
        <v>0</v>
      </c>
      <c r="AN214" s="1502"/>
      <c r="AO214" s="1364"/>
      <c r="AP214" s="1403"/>
      <c r="AQ214" s="1403"/>
      <c r="AR214" s="1489"/>
      <c r="AS214" s="1491"/>
      <c r="AT214" s="556" t="str">
        <f t="shared" si="201"/>
        <v/>
      </c>
      <c r="AU214" s="651"/>
      <c r="AV214" s="1493" t="str">
        <f>IF(K214&lt;&gt;"","V列に色付け","")</f>
        <v/>
      </c>
      <c r="AW214" s="652" t="str">
        <f>IF('別紙様式2-2（４・５月分）'!O164="","",'別紙様式2-2（４・５月分）'!O164)</f>
        <v/>
      </c>
      <c r="AX214" s="1507" t="str">
        <f>IF(SUM('別紙様式2-2（４・５月分）'!P164:P166)=0,"",SUM('別紙様式2-2（４・５月分）'!P164:P166))</f>
        <v/>
      </c>
      <c r="AY214" s="1506" t="str">
        <f>IFERROR(VLOOKUP(K214,【参考】数式用!$AJ$2:$AK$24,2,FALSE),"")</f>
        <v/>
      </c>
      <c r="AZ214" s="1321" t="s">
        <v>2098</v>
      </c>
      <c r="BA214" s="1321" t="s">
        <v>2099</v>
      </c>
      <c r="BB214" s="1321" t="s">
        <v>2100</v>
      </c>
      <c r="BC214" s="1321" t="s">
        <v>2101</v>
      </c>
      <c r="BD214" s="1321" t="str">
        <f>IF(AND(P214&lt;&gt;"新加算Ⅰ",P214&lt;&gt;"新加算Ⅱ",P214&lt;&gt;"新加算Ⅲ",P214&lt;&gt;"新加算Ⅳ"),P214,IF(Q216&lt;&gt;"",Q216,""))</f>
        <v/>
      </c>
      <c r="BE214" s="1321"/>
      <c r="BF214" s="1321" t="str">
        <f t="shared" ref="BF214" si="207">IF(AM214&lt;&gt;0,IF(AN214="○","入力済","未入力"),"")</f>
        <v/>
      </c>
      <c r="BG214" s="1321"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321" t="str">
        <f>IF(OR(U214="新加算Ⅴ（７）",U214="新加算Ⅴ（９）",U214="新加算Ⅴ（10）",U214="新加算Ⅴ（12）",U214="新加算Ⅴ（13）",U214="新加算Ⅴ（14）"),IF(OR(AP214="○",AP214="令和６年度中に満たす"),"入力済","未入力"),"")</f>
        <v/>
      </c>
      <c r="BI214" s="1321" t="str">
        <f>IF(OR(U214="新加算Ⅰ",U214="新加算Ⅱ",U214="新加算Ⅲ",U214="新加算Ⅴ（１）",U214="新加算Ⅴ（３）",U214="新加算Ⅴ（８）"),IF(OR(AQ214="○",AQ214="令和６年度中に満たす"),"入力済","未入力"),"")</f>
        <v/>
      </c>
      <c r="BJ214" s="1512"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493" t="str">
        <f>IF(OR(U214="新加算Ⅰ",U214="新加算Ⅴ（１）",U214="新加算Ⅴ（２）",U214="新加算Ⅴ（５）",U214="新加算Ⅴ（７）",U214="新加算Ⅴ（10）"),IF(AS214="","未入力","入力済"),"")</f>
        <v/>
      </c>
      <c r="BL214" s="543" t="str">
        <f>G214</f>
        <v/>
      </c>
    </row>
    <row r="215" spans="1:64" ht="15" customHeight="1">
      <c r="A215" s="1226"/>
      <c r="B215" s="1272"/>
      <c r="C215" s="1261"/>
      <c r="D215" s="1261"/>
      <c r="E215" s="1261"/>
      <c r="F215" s="1262"/>
      <c r="G215" s="1266"/>
      <c r="H215" s="1266"/>
      <c r="I215" s="1266"/>
      <c r="J215" s="1372"/>
      <c r="K215" s="1266"/>
      <c r="L215" s="1247"/>
      <c r="M215" s="1250"/>
      <c r="N215" s="1370" t="str">
        <f>IF('別紙様式2-2（４・５月分）'!Q165="","",'別紙様式2-2（４・５月分）'!Q165)</f>
        <v/>
      </c>
      <c r="O215" s="1367"/>
      <c r="P215" s="1383"/>
      <c r="Q215" s="1384"/>
      <c r="R215" s="1385"/>
      <c r="S215" s="1393"/>
      <c r="T215" s="1414"/>
      <c r="U215" s="1416"/>
      <c r="V215" s="1458"/>
      <c r="W215" s="1351"/>
      <c r="X215" s="1353"/>
      <c r="Y215" s="1355"/>
      <c r="Z215" s="1353"/>
      <c r="AA215" s="1355"/>
      <c r="AB215" s="1353"/>
      <c r="AC215" s="1355"/>
      <c r="AD215" s="1353"/>
      <c r="AE215" s="1355"/>
      <c r="AF215" s="1355"/>
      <c r="AG215" s="1355"/>
      <c r="AH215" s="1361"/>
      <c r="AI215" s="1482"/>
      <c r="AJ215" s="1484"/>
      <c r="AK215" s="1486"/>
      <c r="AL215" s="1434"/>
      <c r="AM215" s="1488"/>
      <c r="AN215" s="1503"/>
      <c r="AO215" s="1365"/>
      <c r="AP215" s="1404"/>
      <c r="AQ215" s="1404"/>
      <c r="AR215" s="1490"/>
      <c r="AS215" s="1492"/>
      <c r="AT215" s="1331" t="str">
        <f t="shared" si="203"/>
        <v/>
      </c>
      <c r="AU215" s="651"/>
      <c r="AV215" s="1493"/>
      <c r="AW215" s="1518" t="str">
        <f>IF('別紙様式2-2（４・５月分）'!O165="","",'別紙様式2-2（４・５月分）'!O165)</f>
        <v/>
      </c>
      <c r="AX215" s="1507"/>
      <c r="AY215" s="1506"/>
      <c r="AZ215" s="1321"/>
      <c r="BA215" s="1321"/>
      <c r="BB215" s="1321"/>
      <c r="BC215" s="1321"/>
      <c r="BD215" s="1321"/>
      <c r="BE215" s="1321"/>
      <c r="BF215" s="1321"/>
      <c r="BG215" s="1321"/>
      <c r="BH215" s="1321"/>
      <c r="BI215" s="1321"/>
      <c r="BJ215" s="1512"/>
      <c r="BK215" s="1493"/>
      <c r="BL215" s="543" t="str">
        <f>G214</f>
        <v/>
      </c>
    </row>
    <row r="216" spans="1:64" ht="15" customHeight="1">
      <c r="A216" s="1240"/>
      <c r="B216" s="1272"/>
      <c r="C216" s="1261"/>
      <c r="D216" s="1261"/>
      <c r="E216" s="1261"/>
      <c r="F216" s="1262"/>
      <c r="G216" s="1266"/>
      <c r="H216" s="1266"/>
      <c r="I216" s="1266"/>
      <c r="J216" s="1372"/>
      <c r="K216" s="1266"/>
      <c r="L216" s="1247"/>
      <c r="M216" s="1250"/>
      <c r="N216" s="1371"/>
      <c r="O216" s="1368"/>
      <c r="P216" s="1390" t="s">
        <v>2179</v>
      </c>
      <c r="Q216" s="1386" t="str">
        <f>IFERROR(VLOOKUP('別紙様式2-2（４・５月分）'!AR164,【参考】数式用!$AT$5:$AV$22,3,FALSE),"")</f>
        <v/>
      </c>
      <c r="R216" s="1388" t="s">
        <v>2190</v>
      </c>
      <c r="S216" s="1396" t="str">
        <f>IFERROR(VLOOKUP(K214,【参考】数式用!$A$5:$AB$27,MATCH(Q216,【参考】数式用!$B$4:$AB$4,0)+1,0),"")</f>
        <v/>
      </c>
      <c r="T216" s="1459" t="s">
        <v>217</v>
      </c>
      <c r="U216" s="1461"/>
      <c r="V216" s="1463" t="str">
        <f>IFERROR(VLOOKUP(K214,【参考】数式用!$A$5:$AB$27,MATCH(U216,【参考】数式用!$B$4:$AB$4,0)+1,0),"")</f>
        <v/>
      </c>
      <c r="W216" s="1465" t="s">
        <v>19</v>
      </c>
      <c r="X216" s="1508">
        <v>7</v>
      </c>
      <c r="Y216" s="1407" t="s">
        <v>10</v>
      </c>
      <c r="Z216" s="1508">
        <v>4</v>
      </c>
      <c r="AA216" s="1407" t="s">
        <v>45</v>
      </c>
      <c r="AB216" s="1508">
        <v>8</v>
      </c>
      <c r="AC216" s="1407" t="s">
        <v>10</v>
      </c>
      <c r="AD216" s="1508">
        <v>3</v>
      </c>
      <c r="AE216" s="1407" t="s">
        <v>13</v>
      </c>
      <c r="AF216" s="1407" t="s">
        <v>24</v>
      </c>
      <c r="AG216" s="1407">
        <f>IF(X216&gt;=1,(AB216*12+AD216)-(X216*12+Z216)+1,"")</f>
        <v>12</v>
      </c>
      <c r="AH216" s="1409" t="s">
        <v>38</v>
      </c>
      <c r="AI216" s="1496" t="str">
        <f>IFERROR(ROUNDDOWN(ROUND(L214*V216,0)*M214,0)*AG216,"")</f>
        <v/>
      </c>
      <c r="AJ216" s="1510" t="str">
        <f>IFERROR(ROUNDDOWN(ROUND((L214*(V216-AX214)),0)*M214,0)*AG216,"")</f>
        <v/>
      </c>
      <c r="AK216" s="1494">
        <f>IFERROR(IF(OR(N214="",N215="",N217=""),0,ROUNDDOWN(ROUNDDOWN(ROUND(L214*VLOOKUP(K214,【参考】数式用!$A$5:$AB$27,MATCH("新加算Ⅳ",【参考】数式用!$B$4:$AB$4,0)+1,0),0)*M214,0)*AG216*0.5,0)),"")</f>
        <v>0</v>
      </c>
      <c r="AL216" s="1435" t="str">
        <f t="shared" ref="AL216" si="208">IF(U216&lt;&gt;"","新規に適用","")</f>
        <v/>
      </c>
      <c r="AM216" s="1498">
        <f>IFERROR(IF(OR(N217="ベア加算",N217=""),0, IF(OR(U214="新加算Ⅰ",U214="新加算Ⅱ",U214="新加算Ⅲ",U214="新加算Ⅳ"),0,ROUNDDOWN(ROUND(L214*VLOOKUP(K214,【参考】数式用!$A$5:$I$27,MATCH("ベア加算",【参考】数式用!$B$4:$I$4,0)+1,0),0)*M214,0)*AG216)),"")</f>
        <v>0</v>
      </c>
      <c r="AN216" s="1356" t="str">
        <f t="shared" ref="AN216" si="209">IF(AM216=0,"",IF(AND(U216&lt;&gt;"",AN214=""),"新規に適用",IF(AND(U216&lt;&gt;"",AN214&lt;&gt;""),"継続で適用","")))</f>
        <v/>
      </c>
      <c r="AO216" s="1356" t="str">
        <f>IF(AND(U216&lt;&gt;"",AO214=""),"新規に適用",IF(AND(U216&lt;&gt;"",AO214&lt;&gt;""),"継続で適用",""))</f>
        <v/>
      </c>
      <c r="AP216" s="1358"/>
      <c r="AQ216" s="1356" t="str">
        <f>IF(AND(U216&lt;&gt;"",AQ214=""),"新規に適用",IF(AND(U216&lt;&gt;"",AQ214&lt;&gt;""),"継続で適用",""))</f>
        <v/>
      </c>
      <c r="AR216" s="1344" t="str">
        <f t="shared" si="159"/>
        <v/>
      </c>
      <c r="AS216" s="1356" t="str">
        <f>IF(AND(U216&lt;&gt;"",AS214=""),"新規に適用",IF(AND(U216&lt;&gt;"",AS214&lt;&gt;""),"継続で適用",""))</f>
        <v/>
      </c>
      <c r="AT216" s="1331"/>
      <c r="AU216" s="651"/>
      <c r="AV216" s="1493" t="str">
        <f>IF(K214&lt;&gt;"","V列に色付け","")</f>
        <v/>
      </c>
      <c r="AW216" s="1518"/>
      <c r="AX216" s="1507"/>
      <c r="AY216" s="163"/>
      <c r="AZ216" s="163"/>
      <c r="BA216" s="163"/>
      <c r="BB216" s="163"/>
      <c r="BC216" s="163"/>
      <c r="BD216" s="163"/>
      <c r="BE216" s="163"/>
      <c r="BF216" s="163"/>
      <c r="BG216" s="163"/>
      <c r="BH216" s="163"/>
      <c r="BI216" s="163"/>
      <c r="BJ216" s="163"/>
      <c r="BK216" s="163"/>
      <c r="BL216" s="543" t="str">
        <f>G214</f>
        <v/>
      </c>
    </row>
    <row r="217" spans="1:64" ht="30" customHeight="1" thickBot="1">
      <c r="A217" s="1227"/>
      <c r="B217" s="1376"/>
      <c r="C217" s="1377"/>
      <c r="D217" s="1377"/>
      <c r="E217" s="1377"/>
      <c r="F217" s="1378"/>
      <c r="G217" s="1267"/>
      <c r="H217" s="1267"/>
      <c r="I217" s="1267"/>
      <c r="J217" s="1373"/>
      <c r="K217" s="1267"/>
      <c r="L217" s="1248"/>
      <c r="M217" s="1251"/>
      <c r="N217" s="650" t="str">
        <f>IF('別紙様式2-2（４・５月分）'!Q166="","",'別紙様式2-2（４・５月分）'!Q166)</f>
        <v/>
      </c>
      <c r="O217" s="1369"/>
      <c r="P217" s="1391"/>
      <c r="Q217" s="1387"/>
      <c r="R217" s="1389"/>
      <c r="S217" s="1395"/>
      <c r="T217" s="1460"/>
      <c r="U217" s="1462"/>
      <c r="V217" s="1464"/>
      <c r="W217" s="1466"/>
      <c r="X217" s="1509"/>
      <c r="Y217" s="1408"/>
      <c r="Z217" s="1509"/>
      <c r="AA217" s="1408"/>
      <c r="AB217" s="1509"/>
      <c r="AC217" s="1408"/>
      <c r="AD217" s="1509"/>
      <c r="AE217" s="1408"/>
      <c r="AF217" s="1408"/>
      <c r="AG217" s="1408"/>
      <c r="AH217" s="1410"/>
      <c r="AI217" s="1497"/>
      <c r="AJ217" s="1511"/>
      <c r="AK217" s="1495"/>
      <c r="AL217" s="1436"/>
      <c r="AM217" s="1499"/>
      <c r="AN217" s="1357"/>
      <c r="AO217" s="1357"/>
      <c r="AP217" s="1359"/>
      <c r="AQ217" s="1357"/>
      <c r="AR217" s="1345"/>
      <c r="AS217" s="1357"/>
      <c r="AT217" s="581" t="str">
        <f t="shared" ref="AT217" si="210">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51"/>
      <c r="AV217" s="1493"/>
      <c r="AW217" s="652" t="str">
        <f>IF('別紙様式2-2（４・５月分）'!O166="","",'別紙様式2-2（４・５月分）'!O166)</f>
        <v/>
      </c>
      <c r="AX217" s="1507"/>
      <c r="AY217" s="163"/>
      <c r="AZ217" s="163"/>
      <c r="BA217" s="163"/>
      <c r="BB217" s="163"/>
      <c r="BC217" s="163"/>
      <c r="BD217" s="163"/>
      <c r="BE217" s="163"/>
      <c r="BF217" s="163"/>
      <c r="BG217" s="163"/>
      <c r="BH217" s="163"/>
      <c r="BI217" s="163"/>
      <c r="BJ217" s="163"/>
      <c r="BK217" s="163"/>
      <c r="BL217" s="543" t="str">
        <f>G214</f>
        <v/>
      </c>
    </row>
    <row r="218" spans="1:64" ht="30" customHeight="1">
      <c r="A218" s="1241">
        <v>52</v>
      </c>
      <c r="B218" s="1272" t="str">
        <f>IF(基本情報入力シート!C105="","",基本情報入力シート!C105)</f>
        <v/>
      </c>
      <c r="C218" s="1261"/>
      <c r="D218" s="1261"/>
      <c r="E218" s="1261"/>
      <c r="F218" s="1262"/>
      <c r="G218" s="1266" t="str">
        <f>IF(基本情報入力シート!M105="","",基本情報入力シート!M105)</f>
        <v/>
      </c>
      <c r="H218" s="1266" t="str">
        <f>IF(基本情報入力シート!R105="","",基本情報入力シート!R105)</f>
        <v/>
      </c>
      <c r="I218" s="1266" t="str">
        <f>IF(基本情報入力シート!W105="","",基本情報入力シート!W105)</f>
        <v/>
      </c>
      <c r="J218" s="1372" t="str">
        <f>IF(基本情報入力シート!X105="","",基本情報入力シート!X105)</f>
        <v/>
      </c>
      <c r="K218" s="1266" t="str">
        <f>IF(基本情報入力シート!Y105="","",基本情報入力シート!Y105)</f>
        <v/>
      </c>
      <c r="L218" s="1247" t="str">
        <f>IF(基本情報入力シート!AB105="","",基本情報入力シート!AB105)</f>
        <v/>
      </c>
      <c r="M218" s="1374" t="str">
        <f>IF(基本情報入力シート!AC105="","",基本情報入力シート!AC105)</f>
        <v/>
      </c>
      <c r="N218" s="647" t="str">
        <f>IF('別紙様式2-2（４・５月分）'!Q167="","",'別紙様式2-2（４・５月分）'!Q167)</f>
        <v/>
      </c>
      <c r="O218" s="1366" t="str">
        <f>IF(SUM('別紙様式2-2（４・５月分）'!R167:R169)=0,"",SUM('別紙様式2-2（４・５月分）'!R167:R169))</f>
        <v/>
      </c>
      <c r="P218" s="1380" t="str">
        <f>IFERROR(VLOOKUP('別紙様式2-2（４・５月分）'!AR167,【参考】数式用!$AT$5:$AU$22,2,FALSE),"")</f>
        <v/>
      </c>
      <c r="Q218" s="1381"/>
      <c r="R218" s="1382"/>
      <c r="S218" s="1392" t="str">
        <f>IFERROR(VLOOKUP(K218,【参考】数式用!$A$5:$AB$27,MATCH(P218,【参考】数式用!$B$4:$AB$4,0)+1,0),"")</f>
        <v/>
      </c>
      <c r="T218" s="1413" t="s">
        <v>2173</v>
      </c>
      <c r="U218" s="1415"/>
      <c r="V218" s="1457" t="str">
        <f>IFERROR(VLOOKUP(K218,【参考】数式用!$A$5:$AB$27,MATCH(U218,【参考】数式用!$B$4:$AB$4,0)+1,0),"")</f>
        <v/>
      </c>
      <c r="W218" s="1350" t="s">
        <v>19</v>
      </c>
      <c r="X218" s="1352">
        <v>6</v>
      </c>
      <c r="Y218" s="1354" t="s">
        <v>10</v>
      </c>
      <c r="Z218" s="1352">
        <v>6</v>
      </c>
      <c r="AA218" s="1354" t="s">
        <v>45</v>
      </c>
      <c r="AB218" s="1352">
        <v>7</v>
      </c>
      <c r="AC218" s="1354" t="s">
        <v>10</v>
      </c>
      <c r="AD218" s="1352">
        <v>3</v>
      </c>
      <c r="AE218" s="1354" t="s">
        <v>13</v>
      </c>
      <c r="AF218" s="1354" t="s">
        <v>24</v>
      </c>
      <c r="AG218" s="1354">
        <f>IF(X218&gt;=1,(AB218*12+AD218)-(X218*12+Z218)+1,"")</f>
        <v>10</v>
      </c>
      <c r="AH218" s="1360" t="s">
        <v>38</v>
      </c>
      <c r="AI218" s="1481" t="str">
        <f>IFERROR(ROUNDDOWN(ROUND(L218*V218,0)*M218,0)*AG218,"")</f>
        <v/>
      </c>
      <c r="AJ218" s="1483" t="str">
        <f>IFERROR(ROUNDDOWN(ROUND((L218*(V218-AX218)),0)*M218,0)*AG218,"")</f>
        <v/>
      </c>
      <c r="AK218" s="1485">
        <f>IFERROR(IF(OR(N218="",N219="",N221=""),0,ROUNDDOWN(ROUNDDOWN(ROUND(L218*VLOOKUP(K218,【参考】数式用!$A$5:$AB$27,MATCH("新加算Ⅳ",【参考】数式用!$B$4:$AB$4,0)+1,0),0)*M218,0)*AG218*0.5,0)),"")</f>
        <v>0</v>
      </c>
      <c r="AL218" s="1433"/>
      <c r="AM218" s="1487">
        <f>IFERROR(IF(OR(N221="ベア加算",N221=""),0, IF(OR(U218="新加算Ⅰ",U218="新加算Ⅱ",U218="新加算Ⅲ",U218="新加算Ⅳ"),ROUNDDOWN(ROUND(L218*VLOOKUP(K218,【参考】数式用!$A$5:$I$27,MATCH("ベア加算",【参考】数式用!$B$4:$I$4,0)+1,0),0)*M218,0)*AG218,0)),"")</f>
        <v>0</v>
      </c>
      <c r="AN218" s="1502"/>
      <c r="AO218" s="1364"/>
      <c r="AP218" s="1403"/>
      <c r="AQ218" s="1403"/>
      <c r="AR218" s="1489"/>
      <c r="AS218" s="1491"/>
      <c r="AT218" s="556" t="str">
        <f t="shared" si="201"/>
        <v/>
      </c>
      <c r="AU218" s="651"/>
      <c r="AV218" s="1493" t="str">
        <f>IF(K218&lt;&gt;"","V列に色付け","")</f>
        <v/>
      </c>
      <c r="AW218" s="652" t="str">
        <f>IF('別紙様式2-2（４・５月分）'!O167="","",'別紙様式2-2（４・５月分）'!O167)</f>
        <v/>
      </c>
      <c r="AX218" s="1507" t="str">
        <f>IF(SUM('別紙様式2-2（４・５月分）'!P167:P169)=0,"",SUM('別紙様式2-2（４・５月分）'!P167:P169))</f>
        <v/>
      </c>
      <c r="AY218" s="1506" t="str">
        <f>IFERROR(VLOOKUP(K218,【参考】数式用!$AJ$2:$AK$24,2,FALSE),"")</f>
        <v/>
      </c>
      <c r="AZ218" s="1321" t="s">
        <v>2098</v>
      </c>
      <c r="BA218" s="1321" t="s">
        <v>2099</v>
      </c>
      <c r="BB218" s="1321" t="s">
        <v>2100</v>
      </c>
      <c r="BC218" s="1321" t="s">
        <v>2101</v>
      </c>
      <c r="BD218" s="1321" t="str">
        <f>IF(AND(P218&lt;&gt;"新加算Ⅰ",P218&lt;&gt;"新加算Ⅱ",P218&lt;&gt;"新加算Ⅲ",P218&lt;&gt;"新加算Ⅳ"),P218,IF(Q220&lt;&gt;"",Q220,""))</f>
        <v/>
      </c>
      <c r="BE218" s="1321"/>
      <c r="BF218" s="1321" t="str">
        <f t="shared" ref="BF218" si="211">IF(AM218&lt;&gt;0,IF(AN218="○","入力済","未入力"),"")</f>
        <v/>
      </c>
      <c r="BG218" s="1321"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321" t="str">
        <f>IF(OR(U218="新加算Ⅴ（７）",U218="新加算Ⅴ（９）",U218="新加算Ⅴ（10）",U218="新加算Ⅴ（12）",U218="新加算Ⅴ（13）",U218="新加算Ⅴ（14）"),IF(OR(AP218="○",AP218="令和６年度中に満たす"),"入力済","未入力"),"")</f>
        <v/>
      </c>
      <c r="BI218" s="1321" t="str">
        <f>IF(OR(U218="新加算Ⅰ",U218="新加算Ⅱ",U218="新加算Ⅲ",U218="新加算Ⅴ（１）",U218="新加算Ⅴ（３）",U218="新加算Ⅴ（８）"),IF(OR(AQ218="○",AQ218="令和６年度中に満たす"),"入力済","未入力"),"")</f>
        <v/>
      </c>
      <c r="BJ218" s="1512"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493" t="str">
        <f>IF(OR(U218="新加算Ⅰ",U218="新加算Ⅴ（１）",U218="新加算Ⅴ（２）",U218="新加算Ⅴ（５）",U218="新加算Ⅴ（７）",U218="新加算Ⅴ（10）"),IF(AS218="","未入力","入力済"),"")</f>
        <v/>
      </c>
      <c r="BL218" s="543" t="str">
        <f>G218</f>
        <v/>
      </c>
    </row>
    <row r="219" spans="1:64" ht="15" customHeight="1">
      <c r="A219" s="1226"/>
      <c r="B219" s="1272"/>
      <c r="C219" s="1261"/>
      <c r="D219" s="1261"/>
      <c r="E219" s="1261"/>
      <c r="F219" s="1262"/>
      <c r="G219" s="1266"/>
      <c r="H219" s="1266"/>
      <c r="I219" s="1266"/>
      <c r="J219" s="1372"/>
      <c r="K219" s="1266"/>
      <c r="L219" s="1247"/>
      <c r="M219" s="1374"/>
      <c r="N219" s="1370" t="str">
        <f>IF('別紙様式2-2（４・５月分）'!Q168="","",'別紙様式2-2（４・５月分）'!Q168)</f>
        <v/>
      </c>
      <c r="O219" s="1367"/>
      <c r="P219" s="1383"/>
      <c r="Q219" s="1384"/>
      <c r="R219" s="1385"/>
      <c r="S219" s="1393"/>
      <c r="T219" s="1414"/>
      <c r="U219" s="1416"/>
      <c r="V219" s="1458"/>
      <c r="W219" s="1351"/>
      <c r="X219" s="1353"/>
      <c r="Y219" s="1355"/>
      <c r="Z219" s="1353"/>
      <c r="AA219" s="1355"/>
      <c r="AB219" s="1353"/>
      <c r="AC219" s="1355"/>
      <c r="AD219" s="1353"/>
      <c r="AE219" s="1355"/>
      <c r="AF219" s="1355"/>
      <c r="AG219" s="1355"/>
      <c r="AH219" s="1361"/>
      <c r="AI219" s="1482"/>
      <c r="AJ219" s="1484"/>
      <c r="AK219" s="1486"/>
      <c r="AL219" s="1434"/>
      <c r="AM219" s="1488"/>
      <c r="AN219" s="1503"/>
      <c r="AO219" s="1365"/>
      <c r="AP219" s="1404"/>
      <c r="AQ219" s="1404"/>
      <c r="AR219" s="1490"/>
      <c r="AS219" s="1492"/>
      <c r="AT219" s="1331" t="str">
        <f t="shared" si="203"/>
        <v/>
      </c>
      <c r="AU219" s="651"/>
      <c r="AV219" s="1493"/>
      <c r="AW219" s="1518" t="str">
        <f>IF('別紙様式2-2（４・５月分）'!O168="","",'別紙様式2-2（４・５月分）'!O168)</f>
        <v/>
      </c>
      <c r="AX219" s="1507"/>
      <c r="AY219" s="1506"/>
      <c r="AZ219" s="1321"/>
      <c r="BA219" s="1321"/>
      <c r="BB219" s="1321"/>
      <c r="BC219" s="1321"/>
      <c r="BD219" s="1321"/>
      <c r="BE219" s="1321"/>
      <c r="BF219" s="1321"/>
      <c r="BG219" s="1321"/>
      <c r="BH219" s="1321"/>
      <c r="BI219" s="1321"/>
      <c r="BJ219" s="1512"/>
      <c r="BK219" s="1493"/>
      <c r="BL219" s="543" t="str">
        <f>G218</f>
        <v/>
      </c>
    </row>
    <row r="220" spans="1:64" ht="15" customHeight="1">
      <c r="A220" s="1240"/>
      <c r="B220" s="1272"/>
      <c r="C220" s="1261"/>
      <c r="D220" s="1261"/>
      <c r="E220" s="1261"/>
      <c r="F220" s="1262"/>
      <c r="G220" s="1266"/>
      <c r="H220" s="1266"/>
      <c r="I220" s="1266"/>
      <c r="J220" s="1372"/>
      <c r="K220" s="1266"/>
      <c r="L220" s="1247"/>
      <c r="M220" s="1374"/>
      <c r="N220" s="1371"/>
      <c r="O220" s="1368"/>
      <c r="P220" s="1390" t="s">
        <v>2179</v>
      </c>
      <c r="Q220" s="1386" t="str">
        <f>IFERROR(VLOOKUP('別紙様式2-2（４・５月分）'!AR167,【参考】数式用!$AT$5:$AV$22,3,FALSE),"")</f>
        <v/>
      </c>
      <c r="R220" s="1388" t="s">
        <v>2190</v>
      </c>
      <c r="S220" s="1394" t="str">
        <f>IFERROR(VLOOKUP(K218,【参考】数式用!$A$5:$AB$27,MATCH(Q220,【参考】数式用!$B$4:$AB$4,0)+1,0),"")</f>
        <v/>
      </c>
      <c r="T220" s="1459" t="s">
        <v>217</v>
      </c>
      <c r="U220" s="1461"/>
      <c r="V220" s="1463" t="str">
        <f>IFERROR(VLOOKUP(K218,【参考】数式用!$A$5:$AB$27,MATCH(U220,【参考】数式用!$B$4:$AB$4,0)+1,0),"")</f>
        <v/>
      </c>
      <c r="W220" s="1465" t="s">
        <v>19</v>
      </c>
      <c r="X220" s="1508">
        <v>7</v>
      </c>
      <c r="Y220" s="1407" t="s">
        <v>10</v>
      </c>
      <c r="Z220" s="1508">
        <v>4</v>
      </c>
      <c r="AA220" s="1407" t="s">
        <v>45</v>
      </c>
      <c r="AB220" s="1508">
        <v>8</v>
      </c>
      <c r="AC220" s="1407" t="s">
        <v>10</v>
      </c>
      <c r="AD220" s="1508">
        <v>3</v>
      </c>
      <c r="AE220" s="1407" t="s">
        <v>13</v>
      </c>
      <c r="AF220" s="1407" t="s">
        <v>24</v>
      </c>
      <c r="AG220" s="1407">
        <f>IF(X220&gt;=1,(AB220*12+AD220)-(X220*12+Z220)+1,"")</f>
        <v>12</v>
      </c>
      <c r="AH220" s="1409" t="s">
        <v>38</v>
      </c>
      <c r="AI220" s="1496" t="str">
        <f>IFERROR(ROUNDDOWN(ROUND(L218*V220,0)*M218,0)*AG220,"")</f>
        <v/>
      </c>
      <c r="AJ220" s="1510" t="str">
        <f>IFERROR(ROUNDDOWN(ROUND((L218*(V220-AX218)),0)*M218,0)*AG220,"")</f>
        <v/>
      </c>
      <c r="AK220" s="1494">
        <f>IFERROR(IF(OR(N218="",N219="",N221=""),0,ROUNDDOWN(ROUNDDOWN(ROUND(L218*VLOOKUP(K218,【参考】数式用!$A$5:$AB$27,MATCH("新加算Ⅳ",【参考】数式用!$B$4:$AB$4,0)+1,0),0)*M218,0)*AG220*0.5,0)),"")</f>
        <v>0</v>
      </c>
      <c r="AL220" s="1435" t="str">
        <f t="shared" ref="AL220" si="212">IF(U220&lt;&gt;"","新規に適用","")</f>
        <v/>
      </c>
      <c r="AM220" s="1498">
        <f>IFERROR(IF(OR(N221="ベア加算",N221=""),0, IF(OR(U218="新加算Ⅰ",U218="新加算Ⅱ",U218="新加算Ⅲ",U218="新加算Ⅳ"),0,ROUNDDOWN(ROUND(L218*VLOOKUP(K218,【参考】数式用!$A$5:$I$27,MATCH("ベア加算",【参考】数式用!$B$4:$I$4,0)+1,0),0)*M218,0)*AG220)),"")</f>
        <v>0</v>
      </c>
      <c r="AN220" s="1356" t="str">
        <f t="shared" ref="AN220" si="213">IF(AM220=0,"",IF(AND(U220&lt;&gt;"",AN218=""),"新規に適用",IF(AND(U220&lt;&gt;"",AN218&lt;&gt;""),"継続で適用","")))</f>
        <v/>
      </c>
      <c r="AO220" s="1356" t="str">
        <f>IF(AND(U220&lt;&gt;"",AO218=""),"新規に適用",IF(AND(U220&lt;&gt;"",AO218&lt;&gt;""),"継続で適用",""))</f>
        <v/>
      </c>
      <c r="AP220" s="1358"/>
      <c r="AQ220" s="1356" t="str">
        <f>IF(AND(U220&lt;&gt;"",AQ218=""),"新規に適用",IF(AND(U220&lt;&gt;"",AQ218&lt;&gt;""),"継続で適用",""))</f>
        <v/>
      </c>
      <c r="AR220" s="1344" t="str">
        <f t="shared" si="159"/>
        <v/>
      </c>
      <c r="AS220" s="1356" t="str">
        <f>IF(AND(U220&lt;&gt;"",AS218=""),"新規に適用",IF(AND(U220&lt;&gt;"",AS218&lt;&gt;""),"継続で適用",""))</f>
        <v/>
      </c>
      <c r="AT220" s="1331"/>
      <c r="AU220" s="651"/>
      <c r="AV220" s="1493" t="str">
        <f>IF(K218&lt;&gt;"","V列に色付け","")</f>
        <v/>
      </c>
      <c r="AW220" s="1518"/>
      <c r="AX220" s="1507"/>
      <c r="AY220" s="163"/>
      <c r="AZ220" s="163"/>
      <c r="BA220" s="163"/>
      <c r="BB220" s="163"/>
      <c r="BC220" s="163"/>
      <c r="BD220" s="163"/>
      <c r="BE220" s="163"/>
      <c r="BF220" s="163"/>
      <c r="BG220" s="163"/>
      <c r="BH220" s="163"/>
      <c r="BI220" s="163"/>
      <c r="BJ220" s="163"/>
      <c r="BK220" s="163"/>
      <c r="BL220" s="543" t="str">
        <f>G218</f>
        <v/>
      </c>
    </row>
    <row r="221" spans="1:64" ht="30" customHeight="1" thickBot="1">
      <c r="A221" s="1227"/>
      <c r="B221" s="1376"/>
      <c r="C221" s="1377"/>
      <c r="D221" s="1377"/>
      <c r="E221" s="1377"/>
      <c r="F221" s="1378"/>
      <c r="G221" s="1267"/>
      <c r="H221" s="1267"/>
      <c r="I221" s="1267"/>
      <c r="J221" s="1373"/>
      <c r="K221" s="1267"/>
      <c r="L221" s="1248"/>
      <c r="M221" s="1375"/>
      <c r="N221" s="650" t="str">
        <f>IF('別紙様式2-2（４・５月分）'!Q169="","",'別紙様式2-2（４・５月分）'!Q169)</f>
        <v/>
      </c>
      <c r="O221" s="1369"/>
      <c r="P221" s="1391"/>
      <c r="Q221" s="1387"/>
      <c r="R221" s="1389"/>
      <c r="S221" s="1395"/>
      <c r="T221" s="1460"/>
      <c r="U221" s="1462"/>
      <c r="V221" s="1464"/>
      <c r="W221" s="1466"/>
      <c r="X221" s="1509"/>
      <c r="Y221" s="1408"/>
      <c r="Z221" s="1509"/>
      <c r="AA221" s="1408"/>
      <c r="AB221" s="1509"/>
      <c r="AC221" s="1408"/>
      <c r="AD221" s="1509"/>
      <c r="AE221" s="1408"/>
      <c r="AF221" s="1408"/>
      <c r="AG221" s="1408"/>
      <c r="AH221" s="1410"/>
      <c r="AI221" s="1497"/>
      <c r="AJ221" s="1511"/>
      <c r="AK221" s="1495"/>
      <c r="AL221" s="1436"/>
      <c r="AM221" s="1499"/>
      <c r="AN221" s="1357"/>
      <c r="AO221" s="1357"/>
      <c r="AP221" s="1359"/>
      <c r="AQ221" s="1357"/>
      <c r="AR221" s="1345"/>
      <c r="AS221" s="1357"/>
      <c r="AT221" s="581" t="str">
        <f t="shared" ref="AT221" si="214">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51"/>
      <c r="AV221" s="1493"/>
      <c r="AW221" s="652" t="str">
        <f>IF('別紙様式2-2（４・５月分）'!O169="","",'別紙様式2-2（４・５月分）'!O169)</f>
        <v/>
      </c>
      <c r="AX221" s="1507"/>
      <c r="AY221" s="163"/>
      <c r="AZ221" s="163"/>
      <c r="BA221" s="163"/>
      <c r="BB221" s="163"/>
      <c r="BC221" s="163"/>
      <c r="BD221" s="163"/>
      <c r="BE221" s="163"/>
      <c r="BF221" s="163"/>
      <c r="BG221" s="163"/>
      <c r="BH221" s="163"/>
      <c r="BI221" s="163"/>
      <c r="BJ221" s="163"/>
      <c r="BK221" s="163"/>
      <c r="BL221" s="543" t="str">
        <f>G218</f>
        <v/>
      </c>
    </row>
    <row r="222" spans="1:64" ht="30" customHeight="1">
      <c r="A222" s="1225">
        <v>53</v>
      </c>
      <c r="B222" s="1271" t="str">
        <f>IF(基本情報入力シート!C106="","",基本情報入力シート!C106)</f>
        <v/>
      </c>
      <c r="C222" s="1259"/>
      <c r="D222" s="1259"/>
      <c r="E222" s="1259"/>
      <c r="F222" s="1260"/>
      <c r="G222" s="1265" t="str">
        <f>IF(基本情報入力シート!M106="","",基本情報入力シート!M106)</f>
        <v/>
      </c>
      <c r="H222" s="1265" t="str">
        <f>IF(基本情報入力シート!R106="","",基本情報入力シート!R106)</f>
        <v/>
      </c>
      <c r="I222" s="1265" t="str">
        <f>IF(基本情報入力シート!W106="","",基本情報入力シート!W106)</f>
        <v/>
      </c>
      <c r="J222" s="1379" t="str">
        <f>IF(基本情報入力シート!X106="","",基本情報入力シート!X106)</f>
        <v/>
      </c>
      <c r="K222" s="1265" t="str">
        <f>IF(基本情報入力シート!Y106="","",基本情報入力シート!Y106)</f>
        <v/>
      </c>
      <c r="L222" s="1246" t="str">
        <f>IF(基本情報入力シート!AB106="","",基本情報入力シート!AB106)</f>
        <v/>
      </c>
      <c r="M222" s="1249" t="str">
        <f>IF(基本情報入力シート!AC106="","",基本情報入力シート!AC106)</f>
        <v/>
      </c>
      <c r="N222" s="647" t="str">
        <f>IF('別紙様式2-2（４・５月分）'!Q170="","",'別紙様式2-2（４・５月分）'!Q170)</f>
        <v/>
      </c>
      <c r="O222" s="1366" t="str">
        <f>IF(SUM('別紙様式2-2（４・５月分）'!R170:R172)=0,"",SUM('別紙様式2-2（４・５月分）'!R170:R172))</f>
        <v/>
      </c>
      <c r="P222" s="1380" t="str">
        <f>IFERROR(VLOOKUP('別紙様式2-2（４・５月分）'!AR170,【参考】数式用!$AT$5:$AU$22,2,FALSE),"")</f>
        <v/>
      </c>
      <c r="Q222" s="1381"/>
      <c r="R222" s="1382"/>
      <c r="S222" s="1392" t="str">
        <f>IFERROR(VLOOKUP(K222,【参考】数式用!$A$5:$AB$27,MATCH(P222,【参考】数式用!$B$4:$AB$4,0)+1,0),"")</f>
        <v/>
      </c>
      <c r="T222" s="1413" t="s">
        <v>2173</v>
      </c>
      <c r="U222" s="1415"/>
      <c r="V222" s="1457" t="str">
        <f>IFERROR(VLOOKUP(K222,【参考】数式用!$A$5:$AB$27,MATCH(U222,【参考】数式用!$B$4:$AB$4,0)+1,0),"")</f>
        <v/>
      </c>
      <c r="W222" s="1350" t="s">
        <v>19</v>
      </c>
      <c r="X222" s="1352">
        <v>6</v>
      </c>
      <c r="Y222" s="1354" t="s">
        <v>10</v>
      </c>
      <c r="Z222" s="1352">
        <v>6</v>
      </c>
      <c r="AA222" s="1354" t="s">
        <v>45</v>
      </c>
      <c r="AB222" s="1352">
        <v>7</v>
      </c>
      <c r="AC222" s="1354" t="s">
        <v>10</v>
      </c>
      <c r="AD222" s="1352">
        <v>3</v>
      </c>
      <c r="AE222" s="1354" t="s">
        <v>13</v>
      </c>
      <c r="AF222" s="1354" t="s">
        <v>24</v>
      </c>
      <c r="AG222" s="1354">
        <f>IF(X222&gt;=1,(AB222*12+AD222)-(X222*12+Z222)+1,"")</f>
        <v>10</v>
      </c>
      <c r="AH222" s="1360" t="s">
        <v>38</v>
      </c>
      <c r="AI222" s="1481" t="str">
        <f>IFERROR(ROUNDDOWN(ROUND(L222*V222,0)*M222,0)*AG222,"")</f>
        <v/>
      </c>
      <c r="AJ222" s="1483" t="str">
        <f>IFERROR(ROUNDDOWN(ROUND((L222*(V222-AX222)),0)*M222,0)*AG222,"")</f>
        <v/>
      </c>
      <c r="AK222" s="1485">
        <f>IFERROR(IF(OR(N222="",N223="",N225=""),0,ROUNDDOWN(ROUNDDOWN(ROUND(L222*VLOOKUP(K222,【参考】数式用!$A$5:$AB$27,MATCH("新加算Ⅳ",【参考】数式用!$B$4:$AB$4,0)+1,0),0)*M222,0)*AG222*0.5,0)),"")</f>
        <v>0</v>
      </c>
      <c r="AL222" s="1433"/>
      <c r="AM222" s="1487">
        <f>IFERROR(IF(OR(N225="ベア加算",N225=""),0, IF(OR(U222="新加算Ⅰ",U222="新加算Ⅱ",U222="新加算Ⅲ",U222="新加算Ⅳ"),ROUNDDOWN(ROUND(L222*VLOOKUP(K222,【参考】数式用!$A$5:$I$27,MATCH("ベア加算",【参考】数式用!$B$4:$I$4,0)+1,0),0)*M222,0)*AG222,0)),"")</f>
        <v>0</v>
      </c>
      <c r="AN222" s="1502"/>
      <c r="AO222" s="1364"/>
      <c r="AP222" s="1403"/>
      <c r="AQ222" s="1403"/>
      <c r="AR222" s="1489"/>
      <c r="AS222" s="1491"/>
      <c r="AT222" s="556" t="str">
        <f t="shared" si="201"/>
        <v/>
      </c>
      <c r="AU222" s="651"/>
      <c r="AV222" s="1493" t="str">
        <f>IF(K222&lt;&gt;"","V列に色付け","")</f>
        <v/>
      </c>
      <c r="AW222" s="652" t="str">
        <f>IF('別紙様式2-2（４・５月分）'!O170="","",'別紙様式2-2（４・５月分）'!O170)</f>
        <v/>
      </c>
      <c r="AX222" s="1507" t="str">
        <f>IF(SUM('別紙様式2-2（４・５月分）'!P170:P172)=0,"",SUM('別紙様式2-2（４・５月分）'!P170:P172))</f>
        <v/>
      </c>
      <c r="AY222" s="1506" t="str">
        <f>IFERROR(VLOOKUP(K222,【参考】数式用!$AJ$2:$AK$24,2,FALSE),"")</f>
        <v/>
      </c>
      <c r="AZ222" s="1321" t="s">
        <v>2098</v>
      </c>
      <c r="BA222" s="1321" t="s">
        <v>2099</v>
      </c>
      <c r="BB222" s="1321" t="s">
        <v>2100</v>
      </c>
      <c r="BC222" s="1321" t="s">
        <v>2101</v>
      </c>
      <c r="BD222" s="1321" t="str">
        <f>IF(AND(P222&lt;&gt;"新加算Ⅰ",P222&lt;&gt;"新加算Ⅱ",P222&lt;&gt;"新加算Ⅲ",P222&lt;&gt;"新加算Ⅳ"),P222,IF(Q224&lt;&gt;"",Q224,""))</f>
        <v/>
      </c>
      <c r="BE222" s="1321"/>
      <c r="BF222" s="1321" t="str">
        <f t="shared" ref="BF222" si="215">IF(AM222&lt;&gt;0,IF(AN222="○","入力済","未入力"),"")</f>
        <v/>
      </c>
      <c r="BG222" s="1321"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321" t="str">
        <f>IF(OR(U222="新加算Ⅴ（７）",U222="新加算Ⅴ（９）",U222="新加算Ⅴ（10）",U222="新加算Ⅴ（12）",U222="新加算Ⅴ（13）",U222="新加算Ⅴ（14）"),IF(OR(AP222="○",AP222="令和６年度中に満たす"),"入力済","未入力"),"")</f>
        <v/>
      </c>
      <c r="BI222" s="1321" t="str">
        <f>IF(OR(U222="新加算Ⅰ",U222="新加算Ⅱ",U222="新加算Ⅲ",U222="新加算Ⅴ（１）",U222="新加算Ⅴ（３）",U222="新加算Ⅴ（８）"),IF(OR(AQ222="○",AQ222="令和６年度中に満たす"),"入力済","未入力"),"")</f>
        <v/>
      </c>
      <c r="BJ222" s="1512"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493" t="str">
        <f>IF(OR(U222="新加算Ⅰ",U222="新加算Ⅴ（１）",U222="新加算Ⅴ（２）",U222="新加算Ⅴ（５）",U222="新加算Ⅴ（７）",U222="新加算Ⅴ（10）"),IF(AS222="","未入力","入力済"),"")</f>
        <v/>
      </c>
      <c r="BL222" s="543" t="str">
        <f>G222</f>
        <v/>
      </c>
    </row>
    <row r="223" spans="1:64" ht="15" customHeight="1">
      <c r="A223" s="1226"/>
      <c r="B223" s="1272"/>
      <c r="C223" s="1261"/>
      <c r="D223" s="1261"/>
      <c r="E223" s="1261"/>
      <c r="F223" s="1262"/>
      <c r="G223" s="1266"/>
      <c r="H223" s="1266"/>
      <c r="I223" s="1266"/>
      <c r="J223" s="1372"/>
      <c r="K223" s="1266"/>
      <c r="L223" s="1247"/>
      <c r="M223" s="1250"/>
      <c r="N223" s="1370" t="str">
        <f>IF('別紙様式2-2（４・５月分）'!Q171="","",'別紙様式2-2（４・５月分）'!Q171)</f>
        <v/>
      </c>
      <c r="O223" s="1367"/>
      <c r="P223" s="1383"/>
      <c r="Q223" s="1384"/>
      <c r="R223" s="1385"/>
      <c r="S223" s="1393"/>
      <c r="T223" s="1414"/>
      <c r="U223" s="1416"/>
      <c r="V223" s="1458"/>
      <c r="W223" s="1351"/>
      <c r="X223" s="1353"/>
      <c r="Y223" s="1355"/>
      <c r="Z223" s="1353"/>
      <c r="AA223" s="1355"/>
      <c r="AB223" s="1353"/>
      <c r="AC223" s="1355"/>
      <c r="AD223" s="1353"/>
      <c r="AE223" s="1355"/>
      <c r="AF223" s="1355"/>
      <c r="AG223" s="1355"/>
      <c r="AH223" s="1361"/>
      <c r="AI223" s="1482"/>
      <c r="AJ223" s="1484"/>
      <c r="AK223" s="1486"/>
      <c r="AL223" s="1434"/>
      <c r="AM223" s="1488"/>
      <c r="AN223" s="1503"/>
      <c r="AO223" s="1365"/>
      <c r="AP223" s="1404"/>
      <c r="AQ223" s="1404"/>
      <c r="AR223" s="1490"/>
      <c r="AS223" s="1492"/>
      <c r="AT223" s="1331" t="str">
        <f t="shared" si="203"/>
        <v/>
      </c>
      <c r="AU223" s="651"/>
      <c r="AV223" s="1493"/>
      <c r="AW223" s="1518" t="str">
        <f>IF('別紙様式2-2（４・５月分）'!O171="","",'別紙様式2-2（４・５月分）'!O171)</f>
        <v/>
      </c>
      <c r="AX223" s="1507"/>
      <c r="AY223" s="1506"/>
      <c r="AZ223" s="1321"/>
      <c r="BA223" s="1321"/>
      <c r="BB223" s="1321"/>
      <c r="BC223" s="1321"/>
      <c r="BD223" s="1321"/>
      <c r="BE223" s="1321"/>
      <c r="BF223" s="1321"/>
      <c r="BG223" s="1321"/>
      <c r="BH223" s="1321"/>
      <c r="BI223" s="1321"/>
      <c r="BJ223" s="1512"/>
      <c r="BK223" s="1493"/>
      <c r="BL223" s="543" t="str">
        <f>G222</f>
        <v/>
      </c>
    </row>
    <row r="224" spans="1:64" ht="15" customHeight="1">
      <c r="A224" s="1240"/>
      <c r="B224" s="1272"/>
      <c r="C224" s="1261"/>
      <c r="D224" s="1261"/>
      <c r="E224" s="1261"/>
      <c r="F224" s="1262"/>
      <c r="G224" s="1266"/>
      <c r="H224" s="1266"/>
      <c r="I224" s="1266"/>
      <c r="J224" s="1372"/>
      <c r="K224" s="1266"/>
      <c r="L224" s="1247"/>
      <c r="M224" s="1250"/>
      <c r="N224" s="1371"/>
      <c r="O224" s="1368"/>
      <c r="P224" s="1390" t="s">
        <v>2179</v>
      </c>
      <c r="Q224" s="1386" t="str">
        <f>IFERROR(VLOOKUP('別紙様式2-2（４・５月分）'!AR170,【参考】数式用!$AT$5:$AV$22,3,FALSE),"")</f>
        <v/>
      </c>
      <c r="R224" s="1388" t="s">
        <v>2190</v>
      </c>
      <c r="S224" s="1396" t="str">
        <f>IFERROR(VLOOKUP(K222,【参考】数式用!$A$5:$AB$27,MATCH(Q224,【参考】数式用!$B$4:$AB$4,0)+1,0),"")</f>
        <v/>
      </c>
      <c r="T224" s="1459" t="s">
        <v>217</v>
      </c>
      <c r="U224" s="1461"/>
      <c r="V224" s="1463" t="str">
        <f>IFERROR(VLOOKUP(K222,【参考】数式用!$A$5:$AB$27,MATCH(U224,【参考】数式用!$B$4:$AB$4,0)+1,0),"")</f>
        <v/>
      </c>
      <c r="W224" s="1465" t="s">
        <v>19</v>
      </c>
      <c r="X224" s="1508">
        <v>7</v>
      </c>
      <c r="Y224" s="1407" t="s">
        <v>10</v>
      </c>
      <c r="Z224" s="1508">
        <v>4</v>
      </c>
      <c r="AA224" s="1407" t="s">
        <v>45</v>
      </c>
      <c r="AB224" s="1508">
        <v>8</v>
      </c>
      <c r="AC224" s="1407" t="s">
        <v>10</v>
      </c>
      <c r="AD224" s="1508">
        <v>3</v>
      </c>
      <c r="AE224" s="1407" t="s">
        <v>13</v>
      </c>
      <c r="AF224" s="1407" t="s">
        <v>24</v>
      </c>
      <c r="AG224" s="1407">
        <f>IF(X224&gt;=1,(AB224*12+AD224)-(X224*12+Z224)+1,"")</f>
        <v>12</v>
      </c>
      <c r="AH224" s="1409" t="s">
        <v>38</v>
      </c>
      <c r="AI224" s="1496" t="str">
        <f>IFERROR(ROUNDDOWN(ROUND(L222*V224,0)*M222,0)*AG224,"")</f>
        <v/>
      </c>
      <c r="AJ224" s="1510" t="str">
        <f>IFERROR(ROUNDDOWN(ROUND((L222*(V224-AX222)),0)*M222,0)*AG224,"")</f>
        <v/>
      </c>
      <c r="AK224" s="1494">
        <f>IFERROR(IF(OR(N222="",N223="",N225=""),0,ROUNDDOWN(ROUNDDOWN(ROUND(L222*VLOOKUP(K222,【参考】数式用!$A$5:$AB$27,MATCH("新加算Ⅳ",【参考】数式用!$B$4:$AB$4,0)+1,0),0)*M222,0)*AG224*0.5,0)),"")</f>
        <v>0</v>
      </c>
      <c r="AL224" s="1435" t="str">
        <f t="shared" ref="AL224" si="216">IF(U224&lt;&gt;"","新規に適用","")</f>
        <v/>
      </c>
      <c r="AM224" s="1498">
        <f>IFERROR(IF(OR(N225="ベア加算",N225=""),0, IF(OR(U222="新加算Ⅰ",U222="新加算Ⅱ",U222="新加算Ⅲ",U222="新加算Ⅳ"),0,ROUNDDOWN(ROUND(L222*VLOOKUP(K222,【参考】数式用!$A$5:$I$27,MATCH("ベア加算",【参考】数式用!$B$4:$I$4,0)+1,0),0)*M222,0)*AG224)),"")</f>
        <v>0</v>
      </c>
      <c r="AN224" s="1356" t="str">
        <f t="shared" ref="AN224" si="217">IF(AM224=0,"",IF(AND(U224&lt;&gt;"",AN222=""),"新規に適用",IF(AND(U224&lt;&gt;"",AN222&lt;&gt;""),"継続で適用","")))</f>
        <v/>
      </c>
      <c r="AO224" s="1356" t="str">
        <f>IF(AND(U224&lt;&gt;"",AO222=""),"新規に適用",IF(AND(U224&lt;&gt;"",AO222&lt;&gt;""),"継続で適用",""))</f>
        <v/>
      </c>
      <c r="AP224" s="1358"/>
      <c r="AQ224" s="1356" t="str">
        <f>IF(AND(U224&lt;&gt;"",AQ222=""),"新規に適用",IF(AND(U224&lt;&gt;"",AQ222&lt;&gt;""),"継続で適用",""))</f>
        <v/>
      </c>
      <c r="AR224" s="1344" t="str">
        <f t="shared" si="159"/>
        <v/>
      </c>
      <c r="AS224" s="1356" t="str">
        <f>IF(AND(U224&lt;&gt;"",AS222=""),"新規に適用",IF(AND(U224&lt;&gt;"",AS222&lt;&gt;""),"継続で適用",""))</f>
        <v/>
      </c>
      <c r="AT224" s="1331"/>
      <c r="AU224" s="651"/>
      <c r="AV224" s="1493" t="str">
        <f>IF(K222&lt;&gt;"","V列に色付け","")</f>
        <v/>
      </c>
      <c r="AW224" s="1518"/>
      <c r="AX224" s="1507"/>
      <c r="AY224" s="163"/>
      <c r="AZ224" s="163"/>
      <c r="BA224" s="163"/>
      <c r="BB224" s="163"/>
      <c r="BC224" s="163"/>
      <c r="BD224" s="163"/>
      <c r="BE224" s="163"/>
      <c r="BF224" s="163"/>
      <c r="BG224" s="163"/>
      <c r="BH224" s="163"/>
      <c r="BI224" s="163"/>
      <c r="BJ224" s="163"/>
      <c r="BK224" s="163"/>
      <c r="BL224" s="543" t="str">
        <f>G222</f>
        <v/>
      </c>
    </row>
    <row r="225" spans="1:64" ht="30" customHeight="1" thickBot="1">
      <c r="A225" s="1227"/>
      <c r="B225" s="1376"/>
      <c r="C225" s="1377"/>
      <c r="D225" s="1377"/>
      <c r="E225" s="1377"/>
      <c r="F225" s="1378"/>
      <c r="G225" s="1267"/>
      <c r="H225" s="1267"/>
      <c r="I225" s="1267"/>
      <c r="J225" s="1373"/>
      <c r="K225" s="1267"/>
      <c r="L225" s="1248"/>
      <c r="M225" s="1251"/>
      <c r="N225" s="650" t="str">
        <f>IF('別紙様式2-2（４・５月分）'!Q172="","",'別紙様式2-2（４・５月分）'!Q172)</f>
        <v/>
      </c>
      <c r="O225" s="1369"/>
      <c r="P225" s="1391"/>
      <c r="Q225" s="1387"/>
      <c r="R225" s="1389"/>
      <c r="S225" s="1395"/>
      <c r="T225" s="1460"/>
      <c r="U225" s="1462"/>
      <c r="V225" s="1464"/>
      <c r="W225" s="1466"/>
      <c r="X225" s="1509"/>
      <c r="Y225" s="1408"/>
      <c r="Z225" s="1509"/>
      <c r="AA225" s="1408"/>
      <c r="AB225" s="1509"/>
      <c r="AC225" s="1408"/>
      <c r="AD225" s="1509"/>
      <c r="AE225" s="1408"/>
      <c r="AF225" s="1408"/>
      <c r="AG225" s="1408"/>
      <c r="AH225" s="1410"/>
      <c r="AI225" s="1497"/>
      <c r="AJ225" s="1511"/>
      <c r="AK225" s="1495"/>
      <c r="AL225" s="1436"/>
      <c r="AM225" s="1499"/>
      <c r="AN225" s="1357"/>
      <c r="AO225" s="1357"/>
      <c r="AP225" s="1359"/>
      <c r="AQ225" s="1357"/>
      <c r="AR225" s="1345"/>
      <c r="AS225" s="1357"/>
      <c r="AT225" s="581" t="str">
        <f t="shared" ref="AT225" si="218">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51"/>
      <c r="AV225" s="1493"/>
      <c r="AW225" s="652" t="str">
        <f>IF('別紙様式2-2（４・５月分）'!O172="","",'別紙様式2-2（４・５月分）'!O172)</f>
        <v/>
      </c>
      <c r="AX225" s="1507"/>
      <c r="AY225" s="163"/>
      <c r="AZ225" s="163"/>
      <c r="BA225" s="163"/>
      <c r="BB225" s="163"/>
      <c r="BC225" s="163"/>
      <c r="BD225" s="163"/>
      <c r="BE225" s="163"/>
      <c r="BF225" s="163"/>
      <c r="BG225" s="163"/>
      <c r="BH225" s="163"/>
      <c r="BI225" s="163"/>
      <c r="BJ225" s="163"/>
      <c r="BK225" s="163"/>
      <c r="BL225" s="543" t="str">
        <f>G222</f>
        <v/>
      </c>
    </row>
    <row r="226" spans="1:64" ht="30" customHeight="1">
      <c r="A226" s="1241">
        <v>54</v>
      </c>
      <c r="B226" s="1272" t="str">
        <f>IF(基本情報入力シート!C107="","",基本情報入力シート!C107)</f>
        <v/>
      </c>
      <c r="C226" s="1261"/>
      <c r="D226" s="1261"/>
      <c r="E226" s="1261"/>
      <c r="F226" s="1262"/>
      <c r="G226" s="1266" t="str">
        <f>IF(基本情報入力シート!M107="","",基本情報入力シート!M107)</f>
        <v/>
      </c>
      <c r="H226" s="1266" t="str">
        <f>IF(基本情報入力シート!R107="","",基本情報入力シート!R107)</f>
        <v/>
      </c>
      <c r="I226" s="1266" t="str">
        <f>IF(基本情報入力シート!W107="","",基本情報入力シート!W107)</f>
        <v/>
      </c>
      <c r="J226" s="1372" t="str">
        <f>IF(基本情報入力シート!X107="","",基本情報入力シート!X107)</f>
        <v/>
      </c>
      <c r="K226" s="1266" t="str">
        <f>IF(基本情報入力シート!Y107="","",基本情報入力シート!Y107)</f>
        <v/>
      </c>
      <c r="L226" s="1247" t="str">
        <f>IF(基本情報入力シート!AB107="","",基本情報入力シート!AB107)</f>
        <v/>
      </c>
      <c r="M226" s="1374" t="str">
        <f>IF(基本情報入力シート!AC107="","",基本情報入力シート!AC107)</f>
        <v/>
      </c>
      <c r="N226" s="647" t="str">
        <f>IF('別紙様式2-2（４・５月分）'!Q173="","",'別紙様式2-2（４・５月分）'!Q173)</f>
        <v/>
      </c>
      <c r="O226" s="1366" t="str">
        <f>IF(SUM('別紙様式2-2（４・５月分）'!R173:R175)=0,"",SUM('別紙様式2-2（４・５月分）'!R173:R175))</f>
        <v/>
      </c>
      <c r="P226" s="1380" t="str">
        <f>IFERROR(VLOOKUP('別紙様式2-2（４・５月分）'!AR173,【参考】数式用!$AT$5:$AU$22,2,FALSE),"")</f>
        <v/>
      </c>
      <c r="Q226" s="1381"/>
      <c r="R226" s="1382"/>
      <c r="S226" s="1392" t="str">
        <f>IFERROR(VLOOKUP(K226,【参考】数式用!$A$5:$AB$27,MATCH(P226,【参考】数式用!$B$4:$AB$4,0)+1,0),"")</f>
        <v/>
      </c>
      <c r="T226" s="1413" t="s">
        <v>2173</v>
      </c>
      <c r="U226" s="1415"/>
      <c r="V226" s="1457" t="str">
        <f>IFERROR(VLOOKUP(K226,【参考】数式用!$A$5:$AB$27,MATCH(U226,【参考】数式用!$B$4:$AB$4,0)+1,0),"")</f>
        <v/>
      </c>
      <c r="W226" s="1350" t="s">
        <v>19</v>
      </c>
      <c r="X226" s="1352">
        <v>6</v>
      </c>
      <c r="Y226" s="1354" t="s">
        <v>10</v>
      </c>
      <c r="Z226" s="1352">
        <v>6</v>
      </c>
      <c r="AA226" s="1354" t="s">
        <v>45</v>
      </c>
      <c r="AB226" s="1352">
        <v>7</v>
      </c>
      <c r="AC226" s="1354" t="s">
        <v>10</v>
      </c>
      <c r="AD226" s="1352">
        <v>3</v>
      </c>
      <c r="AE226" s="1354" t="s">
        <v>13</v>
      </c>
      <c r="AF226" s="1354" t="s">
        <v>24</v>
      </c>
      <c r="AG226" s="1354">
        <f>IF(X226&gt;=1,(AB226*12+AD226)-(X226*12+Z226)+1,"")</f>
        <v>10</v>
      </c>
      <c r="AH226" s="1360" t="s">
        <v>38</v>
      </c>
      <c r="AI226" s="1481" t="str">
        <f>IFERROR(ROUNDDOWN(ROUND(L226*V226,0)*M226,0)*AG226,"")</f>
        <v/>
      </c>
      <c r="AJ226" s="1483" t="str">
        <f>IFERROR(ROUNDDOWN(ROUND((L226*(V226-AX226)),0)*M226,0)*AG226,"")</f>
        <v/>
      </c>
      <c r="AK226" s="1485">
        <f>IFERROR(IF(OR(N226="",N227="",N229=""),0,ROUNDDOWN(ROUNDDOWN(ROUND(L226*VLOOKUP(K226,【参考】数式用!$A$5:$AB$27,MATCH("新加算Ⅳ",【参考】数式用!$B$4:$AB$4,0)+1,0),0)*M226,0)*AG226*0.5,0)),"")</f>
        <v>0</v>
      </c>
      <c r="AL226" s="1433"/>
      <c r="AM226" s="1487">
        <f>IFERROR(IF(OR(N229="ベア加算",N229=""),0, IF(OR(U226="新加算Ⅰ",U226="新加算Ⅱ",U226="新加算Ⅲ",U226="新加算Ⅳ"),ROUNDDOWN(ROUND(L226*VLOOKUP(K226,【参考】数式用!$A$5:$I$27,MATCH("ベア加算",【参考】数式用!$B$4:$I$4,0)+1,0),0)*M226,0)*AG226,0)),"")</f>
        <v>0</v>
      </c>
      <c r="AN226" s="1502"/>
      <c r="AO226" s="1364"/>
      <c r="AP226" s="1403"/>
      <c r="AQ226" s="1403"/>
      <c r="AR226" s="1489"/>
      <c r="AS226" s="1491"/>
      <c r="AT226" s="556" t="str">
        <f t="shared" si="201"/>
        <v/>
      </c>
      <c r="AU226" s="651"/>
      <c r="AV226" s="1493" t="str">
        <f>IF(K226&lt;&gt;"","V列に色付け","")</f>
        <v/>
      </c>
      <c r="AW226" s="652" t="str">
        <f>IF('別紙様式2-2（４・５月分）'!O173="","",'別紙様式2-2（４・５月分）'!O173)</f>
        <v/>
      </c>
      <c r="AX226" s="1507" t="str">
        <f>IF(SUM('別紙様式2-2（４・５月分）'!P173:P175)=0,"",SUM('別紙様式2-2（４・５月分）'!P173:P175))</f>
        <v/>
      </c>
      <c r="AY226" s="1506" t="str">
        <f>IFERROR(VLOOKUP(K226,【参考】数式用!$AJ$2:$AK$24,2,FALSE),"")</f>
        <v/>
      </c>
      <c r="AZ226" s="1321" t="s">
        <v>2098</v>
      </c>
      <c r="BA226" s="1321" t="s">
        <v>2099</v>
      </c>
      <c r="BB226" s="1321" t="s">
        <v>2100</v>
      </c>
      <c r="BC226" s="1321" t="s">
        <v>2101</v>
      </c>
      <c r="BD226" s="1321" t="str">
        <f>IF(AND(P226&lt;&gt;"新加算Ⅰ",P226&lt;&gt;"新加算Ⅱ",P226&lt;&gt;"新加算Ⅲ",P226&lt;&gt;"新加算Ⅳ"),P226,IF(Q228&lt;&gt;"",Q228,""))</f>
        <v/>
      </c>
      <c r="BE226" s="1321"/>
      <c r="BF226" s="1321" t="str">
        <f t="shared" ref="BF226" si="219">IF(AM226&lt;&gt;0,IF(AN226="○","入力済","未入力"),"")</f>
        <v/>
      </c>
      <c r="BG226" s="1321"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321" t="str">
        <f>IF(OR(U226="新加算Ⅴ（７）",U226="新加算Ⅴ（９）",U226="新加算Ⅴ（10）",U226="新加算Ⅴ（12）",U226="新加算Ⅴ（13）",U226="新加算Ⅴ（14）"),IF(OR(AP226="○",AP226="令和６年度中に満たす"),"入力済","未入力"),"")</f>
        <v/>
      </c>
      <c r="BI226" s="1321" t="str">
        <f>IF(OR(U226="新加算Ⅰ",U226="新加算Ⅱ",U226="新加算Ⅲ",U226="新加算Ⅴ（１）",U226="新加算Ⅴ（３）",U226="新加算Ⅴ（８）"),IF(OR(AQ226="○",AQ226="令和６年度中に満たす"),"入力済","未入力"),"")</f>
        <v/>
      </c>
      <c r="BJ226" s="1512"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493" t="str">
        <f>IF(OR(U226="新加算Ⅰ",U226="新加算Ⅴ（１）",U226="新加算Ⅴ（２）",U226="新加算Ⅴ（５）",U226="新加算Ⅴ（７）",U226="新加算Ⅴ（10）"),IF(AS226="","未入力","入力済"),"")</f>
        <v/>
      </c>
      <c r="BL226" s="543" t="str">
        <f>G226</f>
        <v/>
      </c>
    </row>
    <row r="227" spans="1:64" ht="15" customHeight="1">
      <c r="A227" s="1226"/>
      <c r="B227" s="1272"/>
      <c r="C227" s="1261"/>
      <c r="D227" s="1261"/>
      <c r="E227" s="1261"/>
      <c r="F227" s="1262"/>
      <c r="G227" s="1266"/>
      <c r="H227" s="1266"/>
      <c r="I227" s="1266"/>
      <c r="J227" s="1372"/>
      <c r="K227" s="1266"/>
      <c r="L227" s="1247"/>
      <c r="M227" s="1374"/>
      <c r="N227" s="1370" t="str">
        <f>IF('別紙様式2-2（４・５月分）'!Q174="","",'別紙様式2-2（４・５月分）'!Q174)</f>
        <v/>
      </c>
      <c r="O227" s="1367"/>
      <c r="P227" s="1383"/>
      <c r="Q227" s="1384"/>
      <c r="R227" s="1385"/>
      <c r="S227" s="1393"/>
      <c r="T227" s="1414"/>
      <c r="U227" s="1416"/>
      <c r="V227" s="1458"/>
      <c r="W227" s="1351"/>
      <c r="X227" s="1353"/>
      <c r="Y227" s="1355"/>
      <c r="Z227" s="1353"/>
      <c r="AA227" s="1355"/>
      <c r="AB227" s="1353"/>
      <c r="AC227" s="1355"/>
      <c r="AD227" s="1353"/>
      <c r="AE227" s="1355"/>
      <c r="AF227" s="1355"/>
      <c r="AG227" s="1355"/>
      <c r="AH227" s="1361"/>
      <c r="AI227" s="1482"/>
      <c r="AJ227" s="1484"/>
      <c r="AK227" s="1486"/>
      <c r="AL227" s="1434"/>
      <c r="AM227" s="1488"/>
      <c r="AN227" s="1503"/>
      <c r="AO227" s="1365"/>
      <c r="AP227" s="1404"/>
      <c r="AQ227" s="1404"/>
      <c r="AR227" s="1490"/>
      <c r="AS227" s="1492"/>
      <c r="AT227" s="1331" t="str">
        <f t="shared" si="203"/>
        <v/>
      </c>
      <c r="AU227" s="651"/>
      <c r="AV227" s="1493"/>
      <c r="AW227" s="1518" t="str">
        <f>IF('別紙様式2-2（４・５月分）'!O174="","",'別紙様式2-2（４・５月分）'!O174)</f>
        <v/>
      </c>
      <c r="AX227" s="1507"/>
      <c r="AY227" s="1506"/>
      <c r="AZ227" s="1321"/>
      <c r="BA227" s="1321"/>
      <c r="BB227" s="1321"/>
      <c r="BC227" s="1321"/>
      <c r="BD227" s="1321"/>
      <c r="BE227" s="1321"/>
      <c r="BF227" s="1321"/>
      <c r="BG227" s="1321"/>
      <c r="BH227" s="1321"/>
      <c r="BI227" s="1321"/>
      <c r="BJ227" s="1512"/>
      <c r="BK227" s="1493"/>
      <c r="BL227" s="543" t="str">
        <f>G226</f>
        <v/>
      </c>
    </row>
    <row r="228" spans="1:64" ht="15" customHeight="1">
      <c r="A228" s="1240"/>
      <c r="B228" s="1272"/>
      <c r="C228" s="1261"/>
      <c r="D228" s="1261"/>
      <c r="E228" s="1261"/>
      <c r="F228" s="1262"/>
      <c r="G228" s="1266"/>
      <c r="H228" s="1266"/>
      <c r="I228" s="1266"/>
      <c r="J228" s="1372"/>
      <c r="K228" s="1266"/>
      <c r="L228" s="1247"/>
      <c r="M228" s="1374"/>
      <c r="N228" s="1371"/>
      <c r="O228" s="1368"/>
      <c r="P228" s="1390" t="s">
        <v>2179</v>
      </c>
      <c r="Q228" s="1386" t="str">
        <f>IFERROR(VLOOKUP('別紙様式2-2（４・５月分）'!AR173,【参考】数式用!$AT$5:$AV$22,3,FALSE),"")</f>
        <v/>
      </c>
      <c r="R228" s="1388" t="s">
        <v>2190</v>
      </c>
      <c r="S228" s="1394" t="str">
        <f>IFERROR(VLOOKUP(K226,【参考】数式用!$A$5:$AB$27,MATCH(Q228,【参考】数式用!$B$4:$AB$4,0)+1,0),"")</f>
        <v/>
      </c>
      <c r="T228" s="1459" t="s">
        <v>217</v>
      </c>
      <c r="U228" s="1461"/>
      <c r="V228" s="1463" t="str">
        <f>IFERROR(VLOOKUP(K226,【参考】数式用!$A$5:$AB$27,MATCH(U228,【参考】数式用!$B$4:$AB$4,0)+1,0),"")</f>
        <v/>
      </c>
      <c r="W228" s="1465" t="s">
        <v>19</v>
      </c>
      <c r="X228" s="1508">
        <v>7</v>
      </c>
      <c r="Y228" s="1407" t="s">
        <v>10</v>
      </c>
      <c r="Z228" s="1508">
        <v>4</v>
      </c>
      <c r="AA228" s="1407" t="s">
        <v>45</v>
      </c>
      <c r="AB228" s="1508">
        <v>8</v>
      </c>
      <c r="AC228" s="1407" t="s">
        <v>10</v>
      </c>
      <c r="AD228" s="1508">
        <v>3</v>
      </c>
      <c r="AE228" s="1407" t="s">
        <v>13</v>
      </c>
      <c r="AF228" s="1407" t="s">
        <v>24</v>
      </c>
      <c r="AG228" s="1407">
        <f>IF(X228&gt;=1,(AB228*12+AD228)-(X228*12+Z228)+1,"")</f>
        <v>12</v>
      </c>
      <c r="AH228" s="1409" t="s">
        <v>38</v>
      </c>
      <c r="AI228" s="1496" t="str">
        <f>IFERROR(ROUNDDOWN(ROUND(L226*V228,0)*M226,0)*AG228,"")</f>
        <v/>
      </c>
      <c r="AJ228" s="1510" t="str">
        <f>IFERROR(ROUNDDOWN(ROUND((L226*(V228-AX226)),0)*M226,0)*AG228,"")</f>
        <v/>
      </c>
      <c r="AK228" s="1494">
        <f>IFERROR(IF(OR(N226="",N227="",N229=""),0,ROUNDDOWN(ROUNDDOWN(ROUND(L226*VLOOKUP(K226,【参考】数式用!$A$5:$AB$27,MATCH("新加算Ⅳ",【参考】数式用!$B$4:$AB$4,0)+1,0),0)*M226,0)*AG228*0.5,0)),"")</f>
        <v>0</v>
      </c>
      <c r="AL228" s="1435" t="str">
        <f t="shared" ref="AL228" si="220">IF(U228&lt;&gt;"","新規に適用","")</f>
        <v/>
      </c>
      <c r="AM228" s="1498">
        <f>IFERROR(IF(OR(N229="ベア加算",N229=""),0, IF(OR(U226="新加算Ⅰ",U226="新加算Ⅱ",U226="新加算Ⅲ",U226="新加算Ⅳ"),0,ROUNDDOWN(ROUND(L226*VLOOKUP(K226,【参考】数式用!$A$5:$I$27,MATCH("ベア加算",【参考】数式用!$B$4:$I$4,0)+1,0),0)*M226,0)*AG228)),"")</f>
        <v>0</v>
      </c>
      <c r="AN228" s="1356" t="str">
        <f t="shared" ref="AN228" si="221">IF(AM228=0,"",IF(AND(U228&lt;&gt;"",AN226=""),"新規に適用",IF(AND(U228&lt;&gt;"",AN226&lt;&gt;""),"継続で適用","")))</f>
        <v/>
      </c>
      <c r="AO228" s="1356" t="str">
        <f>IF(AND(U228&lt;&gt;"",AO226=""),"新規に適用",IF(AND(U228&lt;&gt;"",AO226&lt;&gt;""),"継続で適用",""))</f>
        <v/>
      </c>
      <c r="AP228" s="1358"/>
      <c r="AQ228" s="1356" t="str">
        <f>IF(AND(U228&lt;&gt;"",AQ226=""),"新規に適用",IF(AND(U228&lt;&gt;"",AQ226&lt;&gt;""),"継続で適用",""))</f>
        <v/>
      </c>
      <c r="AR228" s="1344" t="str">
        <f t="shared" si="159"/>
        <v/>
      </c>
      <c r="AS228" s="1356" t="str">
        <f>IF(AND(U228&lt;&gt;"",AS226=""),"新規に適用",IF(AND(U228&lt;&gt;"",AS226&lt;&gt;""),"継続で適用",""))</f>
        <v/>
      </c>
      <c r="AT228" s="1331"/>
      <c r="AU228" s="651"/>
      <c r="AV228" s="1493" t="str">
        <f>IF(K226&lt;&gt;"","V列に色付け","")</f>
        <v/>
      </c>
      <c r="AW228" s="1518"/>
      <c r="AX228" s="1507"/>
      <c r="AY228" s="163"/>
      <c r="AZ228" s="163"/>
      <c r="BA228" s="163"/>
      <c r="BB228" s="163"/>
      <c r="BC228" s="163"/>
      <c r="BD228" s="163"/>
      <c r="BE228" s="163"/>
      <c r="BF228" s="163"/>
      <c r="BG228" s="163"/>
      <c r="BH228" s="163"/>
      <c r="BI228" s="163"/>
      <c r="BJ228" s="163"/>
      <c r="BK228" s="163"/>
      <c r="BL228" s="543" t="str">
        <f>G226</f>
        <v/>
      </c>
    </row>
    <row r="229" spans="1:64" ht="30" customHeight="1" thickBot="1">
      <c r="A229" s="1227"/>
      <c r="B229" s="1376"/>
      <c r="C229" s="1377"/>
      <c r="D229" s="1377"/>
      <c r="E229" s="1377"/>
      <c r="F229" s="1378"/>
      <c r="G229" s="1267"/>
      <c r="H229" s="1267"/>
      <c r="I229" s="1267"/>
      <c r="J229" s="1373"/>
      <c r="K229" s="1267"/>
      <c r="L229" s="1248"/>
      <c r="M229" s="1375"/>
      <c r="N229" s="650" t="str">
        <f>IF('別紙様式2-2（４・５月分）'!Q175="","",'別紙様式2-2（４・５月分）'!Q175)</f>
        <v/>
      </c>
      <c r="O229" s="1369"/>
      <c r="P229" s="1391"/>
      <c r="Q229" s="1387"/>
      <c r="R229" s="1389"/>
      <c r="S229" s="1395"/>
      <c r="T229" s="1460"/>
      <c r="U229" s="1462"/>
      <c r="V229" s="1464"/>
      <c r="W229" s="1466"/>
      <c r="X229" s="1509"/>
      <c r="Y229" s="1408"/>
      <c r="Z229" s="1509"/>
      <c r="AA229" s="1408"/>
      <c r="AB229" s="1509"/>
      <c r="AC229" s="1408"/>
      <c r="AD229" s="1509"/>
      <c r="AE229" s="1408"/>
      <c r="AF229" s="1408"/>
      <c r="AG229" s="1408"/>
      <c r="AH229" s="1410"/>
      <c r="AI229" s="1497"/>
      <c r="AJ229" s="1511"/>
      <c r="AK229" s="1495"/>
      <c r="AL229" s="1436"/>
      <c r="AM229" s="1499"/>
      <c r="AN229" s="1357"/>
      <c r="AO229" s="1357"/>
      <c r="AP229" s="1359"/>
      <c r="AQ229" s="1357"/>
      <c r="AR229" s="1345"/>
      <c r="AS229" s="1357"/>
      <c r="AT229" s="581" t="str">
        <f t="shared" ref="AT229" si="222">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51"/>
      <c r="AV229" s="1493"/>
      <c r="AW229" s="652" t="str">
        <f>IF('別紙様式2-2（４・５月分）'!O175="","",'別紙様式2-2（４・５月分）'!O175)</f>
        <v/>
      </c>
      <c r="AX229" s="1507"/>
      <c r="AY229" s="163"/>
      <c r="AZ229" s="163"/>
      <c r="BA229" s="163"/>
      <c r="BB229" s="163"/>
      <c r="BC229" s="163"/>
      <c r="BD229" s="163"/>
      <c r="BE229" s="163"/>
      <c r="BF229" s="163"/>
      <c r="BG229" s="163"/>
      <c r="BH229" s="163"/>
      <c r="BI229" s="163"/>
      <c r="BJ229" s="163"/>
      <c r="BK229" s="163"/>
      <c r="BL229" s="543" t="str">
        <f>G226</f>
        <v/>
      </c>
    </row>
    <row r="230" spans="1:64" ht="30" customHeight="1">
      <c r="A230" s="1225">
        <v>55</v>
      </c>
      <c r="B230" s="1271" t="str">
        <f>IF(基本情報入力シート!C108="","",基本情報入力シート!C108)</f>
        <v/>
      </c>
      <c r="C230" s="1259"/>
      <c r="D230" s="1259"/>
      <c r="E230" s="1259"/>
      <c r="F230" s="1260"/>
      <c r="G230" s="1265" t="str">
        <f>IF(基本情報入力シート!M108="","",基本情報入力シート!M108)</f>
        <v/>
      </c>
      <c r="H230" s="1265" t="str">
        <f>IF(基本情報入力シート!R108="","",基本情報入力シート!R108)</f>
        <v/>
      </c>
      <c r="I230" s="1265" t="str">
        <f>IF(基本情報入力シート!W108="","",基本情報入力シート!W108)</f>
        <v/>
      </c>
      <c r="J230" s="1379" t="str">
        <f>IF(基本情報入力シート!X108="","",基本情報入力シート!X108)</f>
        <v/>
      </c>
      <c r="K230" s="1265" t="str">
        <f>IF(基本情報入力シート!Y108="","",基本情報入力シート!Y108)</f>
        <v/>
      </c>
      <c r="L230" s="1246" t="str">
        <f>IF(基本情報入力シート!AB108="","",基本情報入力シート!AB108)</f>
        <v/>
      </c>
      <c r="M230" s="1249" t="str">
        <f>IF(基本情報入力シート!AC108="","",基本情報入力シート!AC108)</f>
        <v/>
      </c>
      <c r="N230" s="647" t="str">
        <f>IF('別紙様式2-2（４・５月分）'!Q176="","",'別紙様式2-2（４・５月分）'!Q176)</f>
        <v/>
      </c>
      <c r="O230" s="1366" t="str">
        <f>IF(SUM('別紙様式2-2（４・５月分）'!R176:R178)=0,"",SUM('別紙様式2-2（４・５月分）'!R176:R178))</f>
        <v/>
      </c>
      <c r="P230" s="1380" t="str">
        <f>IFERROR(VLOOKUP('別紙様式2-2（４・５月分）'!AR176,【参考】数式用!$AT$5:$AU$22,2,FALSE),"")</f>
        <v/>
      </c>
      <c r="Q230" s="1381"/>
      <c r="R230" s="1382"/>
      <c r="S230" s="1392" t="str">
        <f>IFERROR(VLOOKUP(K230,【参考】数式用!$A$5:$AB$27,MATCH(P230,【参考】数式用!$B$4:$AB$4,0)+1,0),"")</f>
        <v/>
      </c>
      <c r="T230" s="1413" t="s">
        <v>2173</v>
      </c>
      <c r="U230" s="1415"/>
      <c r="V230" s="1457" t="str">
        <f>IFERROR(VLOOKUP(K230,【参考】数式用!$A$5:$AB$27,MATCH(U230,【参考】数式用!$B$4:$AB$4,0)+1,0),"")</f>
        <v/>
      </c>
      <c r="W230" s="1350" t="s">
        <v>19</v>
      </c>
      <c r="X230" s="1352">
        <v>6</v>
      </c>
      <c r="Y230" s="1354" t="s">
        <v>10</v>
      </c>
      <c r="Z230" s="1352">
        <v>6</v>
      </c>
      <c r="AA230" s="1354" t="s">
        <v>45</v>
      </c>
      <c r="AB230" s="1352">
        <v>7</v>
      </c>
      <c r="AC230" s="1354" t="s">
        <v>10</v>
      </c>
      <c r="AD230" s="1352">
        <v>3</v>
      </c>
      <c r="AE230" s="1354" t="s">
        <v>13</v>
      </c>
      <c r="AF230" s="1354" t="s">
        <v>24</v>
      </c>
      <c r="AG230" s="1354">
        <f>IF(X230&gt;=1,(AB230*12+AD230)-(X230*12+Z230)+1,"")</f>
        <v>10</v>
      </c>
      <c r="AH230" s="1360" t="s">
        <v>38</v>
      </c>
      <c r="AI230" s="1481" t="str">
        <f>IFERROR(ROUNDDOWN(ROUND(L230*V230,0)*M230,0)*AG230,"")</f>
        <v/>
      </c>
      <c r="AJ230" s="1483" t="str">
        <f>IFERROR(ROUNDDOWN(ROUND((L230*(V230-AX230)),0)*M230,0)*AG230,"")</f>
        <v/>
      </c>
      <c r="AK230" s="1485">
        <f>IFERROR(IF(OR(N230="",N231="",N233=""),0,ROUNDDOWN(ROUNDDOWN(ROUND(L230*VLOOKUP(K230,【参考】数式用!$A$5:$AB$27,MATCH("新加算Ⅳ",【参考】数式用!$B$4:$AB$4,0)+1,0),0)*M230,0)*AG230*0.5,0)),"")</f>
        <v>0</v>
      </c>
      <c r="AL230" s="1433"/>
      <c r="AM230" s="1487">
        <f>IFERROR(IF(OR(N233="ベア加算",N233=""),0, IF(OR(U230="新加算Ⅰ",U230="新加算Ⅱ",U230="新加算Ⅲ",U230="新加算Ⅳ"),ROUNDDOWN(ROUND(L230*VLOOKUP(K230,【参考】数式用!$A$5:$I$27,MATCH("ベア加算",【参考】数式用!$B$4:$I$4,0)+1,0),0)*M230,0)*AG230,0)),"")</f>
        <v>0</v>
      </c>
      <c r="AN230" s="1502"/>
      <c r="AO230" s="1364"/>
      <c r="AP230" s="1403"/>
      <c r="AQ230" s="1403"/>
      <c r="AR230" s="1489"/>
      <c r="AS230" s="1491"/>
      <c r="AT230" s="556" t="str">
        <f t="shared" si="201"/>
        <v/>
      </c>
      <c r="AU230" s="651"/>
      <c r="AV230" s="1493" t="str">
        <f>IF(K230&lt;&gt;"","V列に色付け","")</f>
        <v/>
      </c>
      <c r="AW230" s="652" t="str">
        <f>IF('別紙様式2-2（４・５月分）'!O176="","",'別紙様式2-2（４・５月分）'!O176)</f>
        <v/>
      </c>
      <c r="AX230" s="1507" t="str">
        <f>IF(SUM('別紙様式2-2（４・５月分）'!P176:P178)=0,"",SUM('別紙様式2-2（４・５月分）'!P176:P178))</f>
        <v/>
      </c>
      <c r="AY230" s="1506" t="str">
        <f>IFERROR(VLOOKUP(K230,【参考】数式用!$AJ$2:$AK$24,2,FALSE),"")</f>
        <v/>
      </c>
      <c r="AZ230" s="1321" t="s">
        <v>2098</v>
      </c>
      <c r="BA230" s="1321" t="s">
        <v>2099</v>
      </c>
      <c r="BB230" s="1321" t="s">
        <v>2100</v>
      </c>
      <c r="BC230" s="1321" t="s">
        <v>2101</v>
      </c>
      <c r="BD230" s="1321" t="str">
        <f>IF(AND(P230&lt;&gt;"新加算Ⅰ",P230&lt;&gt;"新加算Ⅱ",P230&lt;&gt;"新加算Ⅲ",P230&lt;&gt;"新加算Ⅳ"),P230,IF(Q232&lt;&gt;"",Q232,""))</f>
        <v/>
      </c>
      <c r="BE230" s="1321"/>
      <c r="BF230" s="1321" t="str">
        <f t="shared" ref="BF230" si="223">IF(AM230&lt;&gt;0,IF(AN230="○","入力済","未入力"),"")</f>
        <v/>
      </c>
      <c r="BG230" s="1321"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321" t="str">
        <f>IF(OR(U230="新加算Ⅴ（７）",U230="新加算Ⅴ（９）",U230="新加算Ⅴ（10）",U230="新加算Ⅴ（12）",U230="新加算Ⅴ（13）",U230="新加算Ⅴ（14）"),IF(OR(AP230="○",AP230="令和６年度中に満たす"),"入力済","未入力"),"")</f>
        <v/>
      </c>
      <c r="BI230" s="1321" t="str">
        <f>IF(OR(U230="新加算Ⅰ",U230="新加算Ⅱ",U230="新加算Ⅲ",U230="新加算Ⅴ（１）",U230="新加算Ⅴ（３）",U230="新加算Ⅴ（８）"),IF(OR(AQ230="○",AQ230="令和６年度中に満たす"),"入力済","未入力"),"")</f>
        <v/>
      </c>
      <c r="BJ230" s="1512"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493" t="str">
        <f>IF(OR(U230="新加算Ⅰ",U230="新加算Ⅴ（１）",U230="新加算Ⅴ（２）",U230="新加算Ⅴ（５）",U230="新加算Ⅴ（７）",U230="新加算Ⅴ（10）"),IF(AS230="","未入力","入力済"),"")</f>
        <v/>
      </c>
      <c r="BL230" s="543" t="str">
        <f>G230</f>
        <v/>
      </c>
    </row>
    <row r="231" spans="1:64" ht="15" customHeight="1">
      <c r="A231" s="1226"/>
      <c r="B231" s="1272"/>
      <c r="C231" s="1261"/>
      <c r="D231" s="1261"/>
      <c r="E231" s="1261"/>
      <c r="F231" s="1262"/>
      <c r="G231" s="1266"/>
      <c r="H231" s="1266"/>
      <c r="I231" s="1266"/>
      <c r="J231" s="1372"/>
      <c r="K231" s="1266"/>
      <c r="L231" s="1247"/>
      <c r="M231" s="1250"/>
      <c r="N231" s="1370" t="str">
        <f>IF('別紙様式2-2（４・５月分）'!Q177="","",'別紙様式2-2（４・５月分）'!Q177)</f>
        <v/>
      </c>
      <c r="O231" s="1367"/>
      <c r="P231" s="1383"/>
      <c r="Q231" s="1384"/>
      <c r="R231" s="1385"/>
      <c r="S231" s="1393"/>
      <c r="T231" s="1414"/>
      <c r="U231" s="1416"/>
      <c r="V231" s="1458"/>
      <c r="W231" s="1351"/>
      <c r="X231" s="1353"/>
      <c r="Y231" s="1355"/>
      <c r="Z231" s="1353"/>
      <c r="AA231" s="1355"/>
      <c r="AB231" s="1353"/>
      <c r="AC231" s="1355"/>
      <c r="AD231" s="1353"/>
      <c r="AE231" s="1355"/>
      <c r="AF231" s="1355"/>
      <c r="AG231" s="1355"/>
      <c r="AH231" s="1361"/>
      <c r="AI231" s="1482"/>
      <c r="AJ231" s="1484"/>
      <c r="AK231" s="1486"/>
      <c r="AL231" s="1434"/>
      <c r="AM231" s="1488"/>
      <c r="AN231" s="1503"/>
      <c r="AO231" s="1365"/>
      <c r="AP231" s="1404"/>
      <c r="AQ231" s="1404"/>
      <c r="AR231" s="1490"/>
      <c r="AS231" s="1492"/>
      <c r="AT231" s="1331" t="str">
        <f t="shared" si="203"/>
        <v/>
      </c>
      <c r="AU231" s="651"/>
      <c r="AV231" s="1493"/>
      <c r="AW231" s="1518" t="str">
        <f>IF('別紙様式2-2（４・５月分）'!O177="","",'別紙様式2-2（４・５月分）'!O177)</f>
        <v/>
      </c>
      <c r="AX231" s="1507"/>
      <c r="AY231" s="1506"/>
      <c r="AZ231" s="1321"/>
      <c r="BA231" s="1321"/>
      <c r="BB231" s="1321"/>
      <c r="BC231" s="1321"/>
      <c r="BD231" s="1321"/>
      <c r="BE231" s="1321"/>
      <c r="BF231" s="1321"/>
      <c r="BG231" s="1321"/>
      <c r="BH231" s="1321"/>
      <c r="BI231" s="1321"/>
      <c r="BJ231" s="1512"/>
      <c r="BK231" s="1493"/>
      <c r="BL231" s="543" t="str">
        <f>G230</f>
        <v/>
      </c>
    </row>
    <row r="232" spans="1:64" ht="15" customHeight="1">
      <c r="A232" s="1240"/>
      <c r="B232" s="1272"/>
      <c r="C232" s="1261"/>
      <c r="D232" s="1261"/>
      <c r="E232" s="1261"/>
      <c r="F232" s="1262"/>
      <c r="G232" s="1266"/>
      <c r="H232" s="1266"/>
      <c r="I232" s="1266"/>
      <c r="J232" s="1372"/>
      <c r="K232" s="1266"/>
      <c r="L232" s="1247"/>
      <c r="M232" s="1250"/>
      <c r="N232" s="1371"/>
      <c r="O232" s="1368"/>
      <c r="P232" s="1390" t="s">
        <v>2179</v>
      </c>
      <c r="Q232" s="1386" t="str">
        <f>IFERROR(VLOOKUP('別紙様式2-2（４・５月分）'!AR176,【参考】数式用!$AT$5:$AV$22,3,FALSE),"")</f>
        <v/>
      </c>
      <c r="R232" s="1388" t="s">
        <v>2190</v>
      </c>
      <c r="S232" s="1396" t="str">
        <f>IFERROR(VLOOKUP(K230,【参考】数式用!$A$5:$AB$27,MATCH(Q232,【参考】数式用!$B$4:$AB$4,0)+1,0),"")</f>
        <v/>
      </c>
      <c r="T232" s="1459" t="s">
        <v>217</v>
      </c>
      <c r="U232" s="1461"/>
      <c r="V232" s="1463" t="str">
        <f>IFERROR(VLOOKUP(K230,【参考】数式用!$A$5:$AB$27,MATCH(U232,【参考】数式用!$B$4:$AB$4,0)+1,0),"")</f>
        <v/>
      </c>
      <c r="W232" s="1465" t="s">
        <v>19</v>
      </c>
      <c r="X232" s="1508">
        <v>7</v>
      </c>
      <c r="Y232" s="1407" t="s">
        <v>10</v>
      </c>
      <c r="Z232" s="1508">
        <v>4</v>
      </c>
      <c r="AA232" s="1407" t="s">
        <v>45</v>
      </c>
      <c r="AB232" s="1508">
        <v>8</v>
      </c>
      <c r="AC232" s="1407" t="s">
        <v>10</v>
      </c>
      <c r="AD232" s="1508">
        <v>3</v>
      </c>
      <c r="AE232" s="1407" t="s">
        <v>13</v>
      </c>
      <c r="AF232" s="1407" t="s">
        <v>24</v>
      </c>
      <c r="AG232" s="1407">
        <f>IF(X232&gt;=1,(AB232*12+AD232)-(X232*12+Z232)+1,"")</f>
        <v>12</v>
      </c>
      <c r="AH232" s="1409" t="s">
        <v>38</v>
      </c>
      <c r="AI232" s="1496" t="str">
        <f>IFERROR(ROUNDDOWN(ROUND(L230*V232,0)*M230,0)*AG232,"")</f>
        <v/>
      </c>
      <c r="AJ232" s="1510" t="str">
        <f>IFERROR(ROUNDDOWN(ROUND((L230*(V232-AX230)),0)*M230,0)*AG232,"")</f>
        <v/>
      </c>
      <c r="AK232" s="1494">
        <f>IFERROR(IF(OR(N230="",N231="",N233=""),0,ROUNDDOWN(ROUNDDOWN(ROUND(L230*VLOOKUP(K230,【参考】数式用!$A$5:$AB$27,MATCH("新加算Ⅳ",【参考】数式用!$B$4:$AB$4,0)+1,0),0)*M230,0)*AG232*0.5,0)),"")</f>
        <v>0</v>
      </c>
      <c r="AL232" s="1435" t="str">
        <f t="shared" ref="AL232" si="224">IF(U232&lt;&gt;"","新規に適用","")</f>
        <v/>
      </c>
      <c r="AM232" s="1498">
        <f>IFERROR(IF(OR(N233="ベア加算",N233=""),0, IF(OR(U230="新加算Ⅰ",U230="新加算Ⅱ",U230="新加算Ⅲ",U230="新加算Ⅳ"),0,ROUNDDOWN(ROUND(L230*VLOOKUP(K230,【参考】数式用!$A$5:$I$27,MATCH("ベア加算",【参考】数式用!$B$4:$I$4,0)+1,0),0)*M230,0)*AG232)),"")</f>
        <v>0</v>
      </c>
      <c r="AN232" s="1356" t="str">
        <f t="shared" ref="AN232" si="225">IF(AM232=0,"",IF(AND(U232&lt;&gt;"",AN230=""),"新規に適用",IF(AND(U232&lt;&gt;"",AN230&lt;&gt;""),"継続で適用","")))</f>
        <v/>
      </c>
      <c r="AO232" s="1356" t="str">
        <f>IF(AND(U232&lt;&gt;"",AO230=""),"新規に適用",IF(AND(U232&lt;&gt;"",AO230&lt;&gt;""),"継続で適用",""))</f>
        <v/>
      </c>
      <c r="AP232" s="1358"/>
      <c r="AQ232" s="1356" t="str">
        <f>IF(AND(U232&lt;&gt;"",AQ230=""),"新規に適用",IF(AND(U232&lt;&gt;"",AQ230&lt;&gt;""),"継続で適用",""))</f>
        <v/>
      </c>
      <c r="AR232" s="1344" t="str">
        <f t="shared" ref="AR232:AR292" si="226">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56" t="str">
        <f>IF(AND(U232&lt;&gt;"",AS230=""),"新規に適用",IF(AND(U232&lt;&gt;"",AS230&lt;&gt;""),"継続で適用",""))</f>
        <v/>
      </c>
      <c r="AT232" s="1331"/>
      <c r="AU232" s="651"/>
      <c r="AV232" s="1493" t="str">
        <f>IF(K230&lt;&gt;"","V列に色付け","")</f>
        <v/>
      </c>
      <c r="AW232" s="1518"/>
      <c r="AX232" s="1507"/>
      <c r="AY232" s="163"/>
      <c r="AZ232" s="163"/>
      <c r="BA232" s="163"/>
      <c r="BB232" s="163"/>
      <c r="BC232" s="163"/>
      <c r="BD232" s="163"/>
      <c r="BE232" s="163"/>
      <c r="BF232" s="163"/>
      <c r="BG232" s="163"/>
      <c r="BH232" s="163"/>
      <c r="BI232" s="163"/>
      <c r="BJ232" s="163"/>
      <c r="BK232" s="163"/>
      <c r="BL232" s="543" t="str">
        <f>G230</f>
        <v/>
      </c>
    </row>
    <row r="233" spans="1:64" ht="30" customHeight="1" thickBot="1">
      <c r="A233" s="1227"/>
      <c r="B233" s="1376"/>
      <c r="C233" s="1377"/>
      <c r="D233" s="1377"/>
      <c r="E233" s="1377"/>
      <c r="F233" s="1378"/>
      <c r="G233" s="1267"/>
      <c r="H233" s="1267"/>
      <c r="I233" s="1267"/>
      <c r="J233" s="1373"/>
      <c r="K233" s="1267"/>
      <c r="L233" s="1248"/>
      <c r="M233" s="1251"/>
      <c r="N233" s="650" t="str">
        <f>IF('別紙様式2-2（４・５月分）'!Q178="","",'別紙様式2-2（４・５月分）'!Q178)</f>
        <v/>
      </c>
      <c r="O233" s="1369"/>
      <c r="P233" s="1391"/>
      <c r="Q233" s="1387"/>
      <c r="R233" s="1389"/>
      <c r="S233" s="1395"/>
      <c r="T233" s="1460"/>
      <c r="U233" s="1462"/>
      <c r="V233" s="1464"/>
      <c r="W233" s="1466"/>
      <c r="X233" s="1509"/>
      <c r="Y233" s="1408"/>
      <c r="Z233" s="1509"/>
      <c r="AA233" s="1408"/>
      <c r="AB233" s="1509"/>
      <c r="AC233" s="1408"/>
      <c r="AD233" s="1509"/>
      <c r="AE233" s="1408"/>
      <c r="AF233" s="1408"/>
      <c r="AG233" s="1408"/>
      <c r="AH233" s="1410"/>
      <c r="AI233" s="1497"/>
      <c r="AJ233" s="1511"/>
      <c r="AK233" s="1495"/>
      <c r="AL233" s="1436"/>
      <c r="AM233" s="1499"/>
      <c r="AN233" s="1357"/>
      <c r="AO233" s="1357"/>
      <c r="AP233" s="1359"/>
      <c r="AQ233" s="1357"/>
      <c r="AR233" s="1345"/>
      <c r="AS233" s="1357"/>
      <c r="AT233" s="581" t="str">
        <f t="shared" ref="AT233" si="227">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51"/>
      <c r="AV233" s="1493"/>
      <c r="AW233" s="652" t="str">
        <f>IF('別紙様式2-2（４・５月分）'!O178="","",'別紙様式2-2（４・５月分）'!O178)</f>
        <v/>
      </c>
      <c r="AX233" s="1507"/>
      <c r="AY233" s="163"/>
      <c r="AZ233" s="163"/>
      <c r="BA233" s="163"/>
      <c r="BB233" s="163"/>
      <c r="BC233" s="163"/>
      <c r="BD233" s="163"/>
      <c r="BE233" s="163"/>
      <c r="BF233" s="163"/>
      <c r="BG233" s="163"/>
      <c r="BH233" s="163"/>
      <c r="BI233" s="163"/>
      <c r="BJ233" s="163"/>
      <c r="BK233" s="163"/>
      <c r="BL233" s="543" t="str">
        <f>G230</f>
        <v/>
      </c>
    </row>
    <row r="234" spans="1:64" ht="30" customHeight="1">
      <c r="A234" s="1241">
        <v>56</v>
      </c>
      <c r="B234" s="1272" t="str">
        <f>IF(基本情報入力シート!C109="","",基本情報入力シート!C109)</f>
        <v/>
      </c>
      <c r="C234" s="1261"/>
      <c r="D234" s="1261"/>
      <c r="E234" s="1261"/>
      <c r="F234" s="1262"/>
      <c r="G234" s="1266" t="str">
        <f>IF(基本情報入力シート!M109="","",基本情報入力シート!M109)</f>
        <v/>
      </c>
      <c r="H234" s="1266" t="str">
        <f>IF(基本情報入力シート!R109="","",基本情報入力シート!R109)</f>
        <v/>
      </c>
      <c r="I234" s="1266" t="str">
        <f>IF(基本情報入力シート!W109="","",基本情報入力シート!W109)</f>
        <v/>
      </c>
      <c r="J234" s="1372" t="str">
        <f>IF(基本情報入力シート!X109="","",基本情報入力シート!X109)</f>
        <v/>
      </c>
      <c r="K234" s="1266" t="str">
        <f>IF(基本情報入力シート!Y109="","",基本情報入力シート!Y109)</f>
        <v/>
      </c>
      <c r="L234" s="1247" t="str">
        <f>IF(基本情報入力シート!AB109="","",基本情報入力シート!AB109)</f>
        <v/>
      </c>
      <c r="M234" s="1374" t="str">
        <f>IF(基本情報入力シート!AC109="","",基本情報入力シート!AC109)</f>
        <v/>
      </c>
      <c r="N234" s="647" t="str">
        <f>IF('別紙様式2-2（４・５月分）'!Q179="","",'別紙様式2-2（４・５月分）'!Q179)</f>
        <v/>
      </c>
      <c r="O234" s="1366" t="str">
        <f>IF(SUM('別紙様式2-2（４・５月分）'!R179:R181)=0,"",SUM('別紙様式2-2（４・５月分）'!R179:R181))</f>
        <v/>
      </c>
      <c r="P234" s="1380" t="str">
        <f>IFERROR(VLOOKUP('別紙様式2-2（４・５月分）'!AR179,【参考】数式用!$AT$5:$AU$22,2,FALSE),"")</f>
        <v/>
      </c>
      <c r="Q234" s="1381"/>
      <c r="R234" s="1382"/>
      <c r="S234" s="1392" t="str">
        <f>IFERROR(VLOOKUP(K234,【参考】数式用!$A$5:$AB$27,MATCH(P234,【参考】数式用!$B$4:$AB$4,0)+1,0),"")</f>
        <v/>
      </c>
      <c r="T234" s="1413" t="s">
        <v>2173</v>
      </c>
      <c r="U234" s="1415"/>
      <c r="V234" s="1457" t="str">
        <f>IFERROR(VLOOKUP(K234,【参考】数式用!$A$5:$AB$27,MATCH(U234,【参考】数式用!$B$4:$AB$4,0)+1,0),"")</f>
        <v/>
      </c>
      <c r="W234" s="1350" t="s">
        <v>19</v>
      </c>
      <c r="X234" s="1352">
        <v>6</v>
      </c>
      <c r="Y234" s="1354" t="s">
        <v>10</v>
      </c>
      <c r="Z234" s="1352">
        <v>6</v>
      </c>
      <c r="AA234" s="1354" t="s">
        <v>45</v>
      </c>
      <c r="AB234" s="1352">
        <v>7</v>
      </c>
      <c r="AC234" s="1354" t="s">
        <v>10</v>
      </c>
      <c r="AD234" s="1352">
        <v>3</v>
      </c>
      <c r="AE234" s="1354" t="s">
        <v>13</v>
      </c>
      <c r="AF234" s="1354" t="s">
        <v>24</v>
      </c>
      <c r="AG234" s="1354">
        <f>IF(X234&gt;=1,(AB234*12+AD234)-(X234*12+Z234)+1,"")</f>
        <v>10</v>
      </c>
      <c r="AH234" s="1360" t="s">
        <v>38</v>
      </c>
      <c r="AI234" s="1481" t="str">
        <f>IFERROR(ROUNDDOWN(ROUND(L234*V234,0)*M234,0)*AG234,"")</f>
        <v/>
      </c>
      <c r="AJ234" s="1483" t="str">
        <f>IFERROR(ROUNDDOWN(ROUND((L234*(V234-AX234)),0)*M234,0)*AG234,"")</f>
        <v/>
      </c>
      <c r="AK234" s="1485">
        <f>IFERROR(IF(OR(N234="",N235="",N237=""),0,ROUNDDOWN(ROUNDDOWN(ROUND(L234*VLOOKUP(K234,【参考】数式用!$A$5:$AB$27,MATCH("新加算Ⅳ",【参考】数式用!$B$4:$AB$4,0)+1,0),0)*M234,0)*AG234*0.5,0)),"")</f>
        <v>0</v>
      </c>
      <c r="AL234" s="1433"/>
      <c r="AM234" s="1487">
        <f>IFERROR(IF(OR(N237="ベア加算",N237=""),0, IF(OR(U234="新加算Ⅰ",U234="新加算Ⅱ",U234="新加算Ⅲ",U234="新加算Ⅳ"),ROUNDDOWN(ROUND(L234*VLOOKUP(K234,【参考】数式用!$A$5:$I$27,MATCH("ベア加算",【参考】数式用!$B$4:$I$4,0)+1,0),0)*M234,0)*AG234,0)),"")</f>
        <v>0</v>
      </c>
      <c r="AN234" s="1502"/>
      <c r="AO234" s="1364"/>
      <c r="AP234" s="1403"/>
      <c r="AQ234" s="1403"/>
      <c r="AR234" s="1489"/>
      <c r="AS234" s="1491"/>
      <c r="AT234" s="556" t="str">
        <f t="shared" si="201"/>
        <v/>
      </c>
      <c r="AU234" s="651"/>
      <c r="AV234" s="1493" t="str">
        <f>IF(K234&lt;&gt;"","V列に色付け","")</f>
        <v/>
      </c>
      <c r="AW234" s="652" t="str">
        <f>IF('別紙様式2-2（４・５月分）'!O179="","",'別紙様式2-2（４・５月分）'!O179)</f>
        <v/>
      </c>
      <c r="AX234" s="1507" t="str">
        <f>IF(SUM('別紙様式2-2（４・５月分）'!P179:P181)=0,"",SUM('別紙様式2-2（４・５月分）'!P179:P181))</f>
        <v/>
      </c>
      <c r="AY234" s="1506" t="str">
        <f>IFERROR(VLOOKUP(K234,【参考】数式用!$AJ$2:$AK$24,2,FALSE),"")</f>
        <v/>
      </c>
      <c r="AZ234" s="1321" t="s">
        <v>2098</v>
      </c>
      <c r="BA234" s="1321" t="s">
        <v>2099</v>
      </c>
      <c r="BB234" s="1321" t="s">
        <v>2100</v>
      </c>
      <c r="BC234" s="1321" t="s">
        <v>2101</v>
      </c>
      <c r="BD234" s="1321" t="str">
        <f>IF(AND(P234&lt;&gt;"新加算Ⅰ",P234&lt;&gt;"新加算Ⅱ",P234&lt;&gt;"新加算Ⅲ",P234&lt;&gt;"新加算Ⅳ"),P234,IF(Q236&lt;&gt;"",Q236,""))</f>
        <v/>
      </c>
      <c r="BE234" s="1321"/>
      <c r="BF234" s="1321" t="str">
        <f t="shared" ref="BF234" si="228">IF(AM234&lt;&gt;0,IF(AN234="○","入力済","未入力"),"")</f>
        <v/>
      </c>
      <c r="BG234" s="1321"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321" t="str">
        <f>IF(OR(U234="新加算Ⅴ（７）",U234="新加算Ⅴ（９）",U234="新加算Ⅴ（10）",U234="新加算Ⅴ（12）",U234="新加算Ⅴ（13）",U234="新加算Ⅴ（14）"),IF(OR(AP234="○",AP234="令和６年度中に満たす"),"入力済","未入力"),"")</f>
        <v/>
      </c>
      <c r="BI234" s="1321" t="str">
        <f>IF(OR(U234="新加算Ⅰ",U234="新加算Ⅱ",U234="新加算Ⅲ",U234="新加算Ⅴ（１）",U234="新加算Ⅴ（３）",U234="新加算Ⅴ（８）"),IF(OR(AQ234="○",AQ234="令和６年度中に満たす"),"入力済","未入力"),"")</f>
        <v/>
      </c>
      <c r="BJ234" s="1512"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493" t="str">
        <f>IF(OR(U234="新加算Ⅰ",U234="新加算Ⅴ（１）",U234="新加算Ⅴ（２）",U234="新加算Ⅴ（５）",U234="新加算Ⅴ（７）",U234="新加算Ⅴ（10）"),IF(AS234="","未入力","入力済"),"")</f>
        <v/>
      </c>
      <c r="BL234" s="543" t="str">
        <f>G234</f>
        <v/>
      </c>
    </row>
    <row r="235" spans="1:64" ht="15" customHeight="1">
      <c r="A235" s="1226"/>
      <c r="B235" s="1272"/>
      <c r="C235" s="1261"/>
      <c r="D235" s="1261"/>
      <c r="E235" s="1261"/>
      <c r="F235" s="1262"/>
      <c r="G235" s="1266"/>
      <c r="H235" s="1266"/>
      <c r="I235" s="1266"/>
      <c r="J235" s="1372"/>
      <c r="K235" s="1266"/>
      <c r="L235" s="1247"/>
      <c r="M235" s="1374"/>
      <c r="N235" s="1370" t="str">
        <f>IF('別紙様式2-2（４・５月分）'!Q180="","",'別紙様式2-2（４・５月分）'!Q180)</f>
        <v/>
      </c>
      <c r="O235" s="1367"/>
      <c r="P235" s="1383"/>
      <c r="Q235" s="1384"/>
      <c r="R235" s="1385"/>
      <c r="S235" s="1393"/>
      <c r="T235" s="1414"/>
      <c r="U235" s="1416"/>
      <c r="V235" s="1458"/>
      <c r="W235" s="1351"/>
      <c r="X235" s="1353"/>
      <c r="Y235" s="1355"/>
      <c r="Z235" s="1353"/>
      <c r="AA235" s="1355"/>
      <c r="AB235" s="1353"/>
      <c r="AC235" s="1355"/>
      <c r="AD235" s="1353"/>
      <c r="AE235" s="1355"/>
      <c r="AF235" s="1355"/>
      <c r="AG235" s="1355"/>
      <c r="AH235" s="1361"/>
      <c r="AI235" s="1482"/>
      <c r="AJ235" s="1484"/>
      <c r="AK235" s="1486"/>
      <c r="AL235" s="1434"/>
      <c r="AM235" s="1488"/>
      <c r="AN235" s="1503"/>
      <c r="AO235" s="1365"/>
      <c r="AP235" s="1404"/>
      <c r="AQ235" s="1404"/>
      <c r="AR235" s="1490"/>
      <c r="AS235" s="1492"/>
      <c r="AT235" s="1331" t="str">
        <f t="shared" si="203"/>
        <v/>
      </c>
      <c r="AU235" s="651"/>
      <c r="AV235" s="1493"/>
      <c r="AW235" s="1518" t="str">
        <f>IF('別紙様式2-2（４・５月分）'!O180="","",'別紙様式2-2（４・５月分）'!O180)</f>
        <v/>
      </c>
      <c r="AX235" s="1507"/>
      <c r="AY235" s="1506"/>
      <c r="AZ235" s="1321"/>
      <c r="BA235" s="1321"/>
      <c r="BB235" s="1321"/>
      <c r="BC235" s="1321"/>
      <c r="BD235" s="1321"/>
      <c r="BE235" s="1321"/>
      <c r="BF235" s="1321"/>
      <c r="BG235" s="1321"/>
      <c r="BH235" s="1321"/>
      <c r="BI235" s="1321"/>
      <c r="BJ235" s="1512"/>
      <c r="BK235" s="1493"/>
      <c r="BL235" s="543" t="str">
        <f>G234</f>
        <v/>
      </c>
    </row>
    <row r="236" spans="1:64" ht="15" customHeight="1">
      <c r="A236" s="1240"/>
      <c r="B236" s="1272"/>
      <c r="C236" s="1261"/>
      <c r="D236" s="1261"/>
      <c r="E236" s="1261"/>
      <c r="F236" s="1262"/>
      <c r="G236" s="1266"/>
      <c r="H236" s="1266"/>
      <c r="I236" s="1266"/>
      <c r="J236" s="1372"/>
      <c r="K236" s="1266"/>
      <c r="L236" s="1247"/>
      <c r="M236" s="1374"/>
      <c r="N236" s="1371"/>
      <c r="O236" s="1368"/>
      <c r="P236" s="1390" t="s">
        <v>2179</v>
      </c>
      <c r="Q236" s="1386" t="str">
        <f>IFERROR(VLOOKUP('別紙様式2-2（４・５月分）'!AR179,【参考】数式用!$AT$5:$AV$22,3,FALSE),"")</f>
        <v/>
      </c>
      <c r="R236" s="1388" t="s">
        <v>2190</v>
      </c>
      <c r="S236" s="1394" t="str">
        <f>IFERROR(VLOOKUP(K234,【参考】数式用!$A$5:$AB$27,MATCH(Q236,【参考】数式用!$B$4:$AB$4,0)+1,0),"")</f>
        <v/>
      </c>
      <c r="T236" s="1459" t="s">
        <v>217</v>
      </c>
      <c r="U236" s="1461"/>
      <c r="V236" s="1463" t="str">
        <f>IFERROR(VLOOKUP(K234,【参考】数式用!$A$5:$AB$27,MATCH(U236,【参考】数式用!$B$4:$AB$4,0)+1,0),"")</f>
        <v/>
      </c>
      <c r="W236" s="1465" t="s">
        <v>19</v>
      </c>
      <c r="X236" s="1508">
        <v>7</v>
      </c>
      <c r="Y236" s="1407" t="s">
        <v>10</v>
      </c>
      <c r="Z236" s="1508">
        <v>4</v>
      </c>
      <c r="AA236" s="1407" t="s">
        <v>45</v>
      </c>
      <c r="AB236" s="1508">
        <v>8</v>
      </c>
      <c r="AC236" s="1407" t="s">
        <v>10</v>
      </c>
      <c r="AD236" s="1508">
        <v>3</v>
      </c>
      <c r="AE236" s="1407" t="s">
        <v>13</v>
      </c>
      <c r="AF236" s="1407" t="s">
        <v>24</v>
      </c>
      <c r="AG236" s="1407">
        <f>IF(X236&gt;=1,(AB236*12+AD236)-(X236*12+Z236)+1,"")</f>
        <v>12</v>
      </c>
      <c r="AH236" s="1409" t="s">
        <v>38</v>
      </c>
      <c r="AI236" s="1496" t="str">
        <f>IFERROR(ROUNDDOWN(ROUND(L234*V236,0)*M234,0)*AG236,"")</f>
        <v/>
      </c>
      <c r="AJ236" s="1510" t="str">
        <f>IFERROR(ROUNDDOWN(ROUND((L234*(V236-AX234)),0)*M234,0)*AG236,"")</f>
        <v/>
      </c>
      <c r="AK236" s="1494">
        <f>IFERROR(IF(OR(N234="",N235="",N237=""),0,ROUNDDOWN(ROUNDDOWN(ROUND(L234*VLOOKUP(K234,【参考】数式用!$A$5:$AB$27,MATCH("新加算Ⅳ",【参考】数式用!$B$4:$AB$4,0)+1,0),0)*M234,0)*AG236*0.5,0)),"")</f>
        <v>0</v>
      </c>
      <c r="AL236" s="1435" t="str">
        <f t="shared" ref="AL236" si="229">IF(U236&lt;&gt;"","新規に適用","")</f>
        <v/>
      </c>
      <c r="AM236" s="1498">
        <f>IFERROR(IF(OR(N237="ベア加算",N237=""),0, IF(OR(U234="新加算Ⅰ",U234="新加算Ⅱ",U234="新加算Ⅲ",U234="新加算Ⅳ"),0,ROUNDDOWN(ROUND(L234*VLOOKUP(K234,【参考】数式用!$A$5:$I$27,MATCH("ベア加算",【参考】数式用!$B$4:$I$4,0)+1,0),0)*M234,0)*AG236)),"")</f>
        <v>0</v>
      </c>
      <c r="AN236" s="1356" t="str">
        <f t="shared" ref="AN236" si="230">IF(AM236=0,"",IF(AND(U236&lt;&gt;"",AN234=""),"新規に適用",IF(AND(U236&lt;&gt;"",AN234&lt;&gt;""),"継続で適用","")))</f>
        <v/>
      </c>
      <c r="AO236" s="1356" t="str">
        <f>IF(AND(U236&lt;&gt;"",AO234=""),"新規に適用",IF(AND(U236&lt;&gt;"",AO234&lt;&gt;""),"継続で適用",""))</f>
        <v/>
      </c>
      <c r="AP236" s="1358"/>
      <c r="AQ236" s="1356" t="str">
        <f>IF(AND(U236&lt;&gt;"",AQ234=""),"新規に適用",IF(AND(U236&lt;&gt;"",AQ234&lt;&gt;""),"継続で適用",""))</f>
        <v/>
      </c>
      <c r="AR236" s="1344" t="str">
        <f t="shared" si="226"/>
        <v/>
      </c>
      <c r="AS236" s="1356" t="str">
        <f>IF(AND(U236&lt;&gt;"",AS234=""),"新規に適用",IF(AND(U236&lt;&gt;"",AS234&lt;&gt;""),"継続で適用",""))</f>
        <v/>
      </c>
      <c r="AT236" s="1331"/>
      <c r="AU236" s="651"/>
      <c r="AV236" s="1493" t="str">
        <f>IF(K234&lt;&gt;"","V列に色付け","")</f>
        <v/>
      </c>
      <c r="AW236" s="1518"/>
      <c r="AX236" s="1507"/>
      <c r="AY236" s="163"/>
      <c r="AZ236" s="163"/>
      <c r="BA236" s="163"/>
      <c r="BB236" s="163"/>
      <c r="BC236" s="163"/>
      <c r="BD236" s="163"/>
      <c r="BE236" s="163"/>
      <c r="BF236" s="163"/>
      <c r="BG236" s="163"/>
      <c r="BH236" s="163"/>
      <c r="BI236" s="163"/>
      <c r="BJ236" s="163"/>
      <c r="BK236" s="163"/>
      <c r="BL236" s="543" t="str">
        <f>G234</f>
        <v/>
      </c>
    </row>
    <row r="237" spans="1:64" ht="30" customHeight="1" thickBot="1">
      <c r="A237" s="1227"/>
      <c r="B237" s="1376"/>
      <c r="C237" s="1377"/>
      <c r="D237" s="1377"/>
      <c r="E237" s="1377"/>
      <c r="F237" s="1378"/>
      <c r="G237" s="1267"/>
      <c r="H237" s="1267"/>
      <c r="I237" s="1267"/>
      <c r="J237" s="1373"/>
      <c r="K237" s="1267"/>
      <c r="L237" s="1248"/>
      <c r="M237" s="1375"/>
      <c r="N237" s="650" t="str">
        <f>IF('別紙様式2-2（４・５月分）'!Q181="","",'別紙様式2-2（４・５月分）'!Q181)</f>
        <v/>
      </c>
      <c r="O237" s="1369"/>
      <c r="P237" s="1391"/>
      <c r="Q237" s="1387"/>
      <c r="R237" s="1389"/>
      <c r="S237" s="1395"/>
      <c r="T237" s="1460"/>
      <c r="U237" s="1462"/>
      <c r="V237" s="1464"/>
      <c r="W237" s="1466"/>
      <c r="X237" s="1509"/>
      <c r="Y237" s="1408"/>
      <c r="Z237" s="1509"/>
      <c r="AA237" s="1408"/>
      <c r="AB237" s="1509"/>
      <c r="AC237" s="1408"/>
      <c r="AD237" s="1509"/>
      <c r="AE237" s="1408"/>
      <c r="AF237" s="1408"/>
      <c r="AG237" s="1408"/>
      <c r="AH237" s="1410"/>
      <c r="AI237" s="1497"/>
      <c r="AJ237" s="1511"/>
      <c r="AK237" s="1495"/>
      <c r="AL237" s="1436"/>
      <c r="AM237" s="1499"/>
      <c r="AN237" s="1357"/>
      <c r="AO237" s="1357"/>
      <c r="AP237" s="1359"/>
      <c r="AQ237" s="1357"/>
      <c r="AR237" s="1345"/>
      <c r="AS237" s="1357"/>
      <c r="AT237" s="581" t="str">
        <f t="shared" ref="AT237" si="231">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51"/>
      <c r="AV237" s="1493"/>
      <c r="AW237" s="652" t="str">
        <f>IF('別紙様式2-2（４・５月分）'!O181="","",'別紙様式2-2（４・５月分）'!O181)</f>
        <v/>
      </c>
      <c r="AX237" s="1507"/>
      <c r="AY237" s="163"/>
      <c r="AZ237" s="163"/>
      <c r="BA237" s="163"/>
      <c r="BB237" s="163"/>
      <c r="BC237" s="163"/>
      <c r="BD237" s="163"/>
      <c r="BE237" s="163"/>
      <c r="BF237" s="163"/>
      <c r="BG237" s="163"/>
      <c r="BH237" s="163"/>
      <c r="BI237" s="163"/>
      <c r="BJ237" s="163"/>
      <c r="BK237" s="163"/>
      <c r="BL237" s="543" t="str">
        <f>G234</f>
        <v/>
      </c>
    </row>
    <row r="238" spans="1:64" ht="30" customHeight="1">
      <c r="A238" s="1225">
        <v>57</v>
      </c>
      <c r="B238" s="1272" t="str">
        <f>IF(基本情報入力シート!C110="","",基本情報入力シート!C110)</f>
        <v/>
      </c>
      <c r="C238" s="1261"/>
      <c r="D238" s="1261"/>
      <c r="E238" s="1261"/>
      <c r="F238" s="1262"/>
      <c r="G238" s="1266" t="str">
        <f>IF(基本情報入力シート!M110="","",基本情報入力シート!M110)</f>
        <v/>
      </c>
      <c r="H238" s="1266" t="str">
        <f>IF(基本情報入力シート!R110="","",基本情報入力シート!R110)</f>
        <v/>
      </c>
      <c r="I238" s="1266" t="str">
        <f>IF(基本情報入力シート!W110="","",基本情報入力シート!W110)</f>
        <v/>
      </c>
      <c r="J238" s="1372" t="str">
        <f>IF(基本情報入力シート!X110="","",基本情報入力シート!X110)</f>
        <v/>
      </c>
      <c r="K238" s="1266" t="str">
        <f>IF(基本情報入力シート!Y110="","",基本情報入力シート!Y110)</f>
        <v/>
      </c>
      <c r="L238" s="1247" t="str">
        <f>IF(基本情報入力シート!AB110="","",基本情報入力シート!AB110)</f>
        <v/>
      </c>
      <c r="M238" s="1374" t="str">
        <f>IF(基本情報入力シート!AC110="","",基本情報入力シート!AC110)</f>
        <v/>
      </c>
      <c r="N238" s="647" t="str">
        <f>IF('別紙様式2-2（４・５月分）'!Q182="","",'別紙様式2-2（４・５月分）'!Q182)</f>
        <v/>
      </c>
      <c r="O238" s="1366" t="str">
        <f>IF(SUM('別紙様式2-2（４・５月分）'!R182:R184)=0,"",SUM('別紙様式2-2（４・５月分）'!R182:R184))</f>
        <v/>
      </c>
      <c r="P238" s="1380" t="str">
        <f>IFERROR(VLOOKUP('別紙様式2-2（４・５月分）'!AR182,【参考】数式用!$AT$5:$AU$22,2,FALSE),"")</f>
        <v/>
      </c>
      <c r="Q238" s="1381"/>
      <c r="R238" s="1382"/>
      <c r="S238" s="1392" t="str">
        <f>IFERROR(VLOOKUP(K238,【参考】数式用!$A$5:$AB$27,MATCH(P238,【参考】数式用!$B$4:$AB$4,0)+1,0),"")</f>
        <v/>
      </c>
      <c r="T238" s="1413" t="s">
        <v>2173</v>
      </c>
      <c r="U238" s="1415"/>
      <c r="V238" s="1457" t="str">
        <f>IFERROR(VLOOKUP(K238,【参考】数式用!$A$5:$AB$27,MATCH(U238,【参考】数式用!$B$4:$AB$4,0)+1,0),"")</f>
        <v/>
      </c>
      <c r="W238" s="1350" t="s">
        <v>19</v>
      </c>
      <c r="X238" s="1352">
        <v>6</v>
      </c>
      <c r="Y238" s="1354" t="s">
        <v>10</v>
      </c>
      <c r="Z238" s="1352">
        <v>6</v>
      </c>
      <c r="AA238" s="1354" t="s">
        <v>45</v>
      </c>
      <c r="AB238" s="1352">
        <v>7</v>
      </c>
      <c r="AC238" s="1354" t="s">
        <v>10</v>
      </c>
      <c r="AD238" s="1352">
        <v>3</v>
      </c>
      <c r="AE238" s="1354" t="s">
        <v>13</v>
      </c>
      <c r="AF238" s="1354" t="s">
        <v>24</v>
      </c>
      <c r="AG238" s="1354">
        <f>IF(X238&gt;=1,(AB238*12+AD238)-(X238*12+Z238)+1,"")</f>
        <v>10</v>
      </c>
      <c r="AH238" s="1360" t="s">
        <v>38</v>
      </c>
      <c r="AI238" s="1481" t="str">
        <f>IFERROR(ROUNDDOWN(ROUND(L238*V238,0)*M238,0)*AG238,"")</f>
        <v/>
      </c>
      <c r="AJ238" s="1483" t="str">
        <f>IFERROR(ROUNDDOWN(ROUND((L238*(V238-AX238)),0)*M238,0)*AG238,"")</f>
        <v/>
      </c>
      <c r="AK238" s="1485">
        <f>IFERROR(IF(OR(N238="",N239="",N241=""),0,ROUNDDOWN(ROUNDDOWN(ROUND(L238*VLOOKUP(K238,【参考】数式用!$A$5:$AB$27,MATCH("新加算Ⅳ",【参考】数式用!$B$4:$AB$4,0)+1,0),0)*M238,0)*AG238*0.5,0)),"")</f>
        <v>0</v>
      </c>
      <c r="AL238" s="1433"/>
      <c r="AM238" s="1487">
        <f>IFERROR(IF(OR(N241="ベア加算",N241=""),0, IF(OR(U238="新加算Ⅰ",U238="新加算Ⅱ",U238="新加算Ⅲ",U238="新加算Ⅳ"),ROUNDDOWN(ROUND(L238*VLOOKUP(K238,【参考】数式用!$A$5:$I$27,MATCH("ベア加算",【参考】数式用!$B$4:$I$4,0)+1,0),0)*M238,0)*AG238,0)),"")</f>
        <v>0</v>
      </c>
      <c r="AN238" s="1502"/>
      <c r="AO238" s="1364"/>
      <c r="AP238" s="1403"/>
      <c r="AQ238" s="1403"/>
      <c r="AR238" s="1489"/>
      <c r="AS238" s="1491"/>
      <c r="AT238" s="556" t="str">
        <f t="shared" si="201"/>
        <v/>
      </c>
      <c r="AU238" s="651"/>
      <c r="AV238" s="1493" t="str">
        <f>IF(K238&lt;&gt;"","V列に色付け","")</f>
        <v/>
      </c>
      <c r="AW238" s="652" t="str">
        <f>IF('別紙様式2-2（４・５月分）'!O182="","",'別紙様式2-2（４・５月分）'!O182)</f>
        <v/>
      </c>
      <c r="AX238" s="1507" t="str">
        <f>IF(SUM('別紙様式2-2（４・５月分）'!P182:P184)=0,"",SUM('別紙様式2-2（４・５月分）'!P182:P184))</f>
        <v/>
      </c>
      <c r="AY238" s="1506" t="str">
        <f>IFERROR(VLOOKUP(K238,【参考】数式用!$AJ$2:$AK$24,2,FALSE),"")</f>
        <v/>
      </c>
      <c r="AZ238" s="1321" t="s">
        <v>2098</v>
      </c>
      <c r="BA238" s="1321" t="s">
        <v>2099</v>
      </c>
      <c r="BB238" s="1321" t="s">
        <v>2100</v>
      </c>
      <c r="BC238" s="1321" t="s">
        <v>2101</v>
      </c>
      <c r="BD238" s="1321" t="str">
        <f>IF(AND(P238&lt;&gt;"新加算Ⅰ",P238&lt;&gt;"新加算Ⅱ",P238&lt;&gt;"新加算Ⅲ",P238&lt;&gt;"新加算Ⅳ"),P238,IF(Q240&lt;&gt;"",Q240,""))</f>
        <v/>
      </c>
      <c r="BE238" s="1321"/>
      <c r="BF238" s="1321" t="str">
        <f t="shared" ref="BF238" si="232">IF(AM238&lt;&gt;0,IF(AN238="○","入力済","未入力"),"")</f>
        <v/>
      </c>
      <c r="BG238" s="1321"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321" t="str">
        <f>IF(OR(U238="新加算Ⅴ（７）",U238="新加算Ⅴ（９）",U238="新加算Ⅴ（10）",U238="新加算Ⅴ（12）",U238="新加算Ⅴ（13）",U238="新加算Ⅴ（14）"),IF(OR(AP238="○",AP238="令和６年度中に満たす"),"入力済","未入力"),"")</f>
        <v/>
      </c>
      <c r="BI238" s="1321" t="str">
        <f>IF(OR(U238="新加算Ⅰ",U238="新加算Ⅱ",U238="新加算Ⅲ",U238="新加算Ⅴ（１）",U238="新加算Ⅴ（３）",U238="新加算Ⅴ（８）"),IF(OR(AQ238="○",AQ238="令和６年度中に満たす"),"入力済","未入力"),"")</f>
        <v/>
      </c>
      <c r="BJ238" s="1512"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493" t="str">
        <f>IF(OR(U238="新加算Ⅰ",U238="新加算Ⅴ（１）",U238="新加算Ⅴ（２）",U238="新加算Ⅴ（５）",U238="新加算Ⅴ（７）",U238="新加算Ⅴ（10）"),IF(AS238="","未入力","入力済"),"")</f>
        <v/>
      </c>
      <c r="BL238" s="543" t="str">
        <f>G238</f>
        <v/>
      </c>
    </row>
    <row r="239" spans="1:64" ht="15" customHeight="1">
      <c r="A239" s="1226"/>
      <c r="B239" s="1272"/>
      <c r="C239" s="1261"/>
      <c r="D239" s="1261"/>
      <c r="E239" s="1261"/>
      <c r="F239" s="1262"/>
      <c r="G239" s="1266"/>
      <c r="H239" s="1266"/>
      <c r="I239" s="1266"/>
      <c r="J239" s="1372"/>
      <c r="K239" s="1266"/>
      <c r="L239" s="1247"/>
      <c r="M239" s="1374"/>
      <c r="N239" s="1370" t="str">
        <f>IF('別紙様式2-2（４・５月分）'!Q183="","",'別紙様式2-2（４・５月分）'!Q183)</f>
        <v/>
      </c>
      <c r="O239" s="1367"/>
      <c r="P239" s="1383"/>
      <c r="Q239" s="1384"/>
      <c r="R239" s="1385"/>
      <c r="S239" s="1393"/>
      <c r="T239" s="1414"/>
      <c r="U239" s="1416"/>
      <c r="V239" s="1458"/>
      <c r="W239" s="1351"/>
      <c r="X239" s="1353"/>
      <c r="Y239" s="1355"/>
      <c r="Z239" s="1353"/>
      <c r="AA239" s="1355"/>
      <c r="AB239" s="1353"/>
      <c r="AC239" s="1355"/>
      <c r="AD239" s="1353"/>
      <c r="AE239" s="1355"/>
      <c r="AF239" s="1355"/>
      <c r="AG239" s="1355"/>
      <c r="AH239" s="1361"/>
      <c r="AI239" s="1482"/>
      <c r="AJ239" s="1484"/>
      <c r="AK239" s="1486"/>
      <c r="AL239" s="1434"/>
      <c r="AM239" s="1488"/>
      <c r="AN239" s="1503"/>
      <c r="AO239" s="1365"/>
      <c r="AP239" s="1404"/>
      <c r="AQ239" s="1404"/>
      <c r="AR239" s="1490"/>
      <c r="AS239" s="1492"/>
      <c r="AT239" s="1331" t="str">
        <f t="shared" si="203"/>
        <v/>
      </c>
      <c r="AU239" s="651"/>
      <c r="AV239" s="1493"/>
      <c r="AW239" s="1518" t="str">
        <f>IF('別紙様式2-2（４・５月分）'!O183="","",'別紙様式2-2（４・５月分）'!O183)</f>
        <v/>
      </c>
      <c r="AX239" s="1507"/>
      <c r="AY239" s="1506"/>
      <c r="AZ239" s="1321"/>
      <c r="BA239" s="1321"/>
      <c r="BB239" s="1321"/>
      <c r="BC239" s="1321"/>
      <c r="BD239" s="1321"/>
      <c r="BE239" s="1321"/>
      <c r="BF239" s="1321"/>
      <c r="BG239" s="1321"/>
      <c r="BH239" s="1321"/>
      <c r="BI239" s="1321"/>
      <c r="BJ239" s="1512"/>
      <c r="BK239" s="1493"/>
      <c r="BL239" s="543" t="str">
        <f>G238</f>
        <v/>
      </c>
    </row>
    <row r="240" spans="1:64" ht="15" customHeight="1">
      <c r="A240" s="1240"/>
      <c r="B240" s="1272"/>
      <c r="C240" s="1261"/>
      <c r="D240" s="1261"/>
      <c r="E240" s="1261"/>
      <c r="F240" s="1262"/>
      <c r="G240" s="1266"/>
      <c r="H240" s="1266"/>
      <c r="I240" s="1266"/>
      <c r="J240" s="1372"/>
      <c r="K240" s="1266"/>
      <c r="L240" s="1247"/>
      <c r="M240" s="1374"/>
      <c r="N240" s="1371"/>
      <c r="O240" s="1368"/>
      <c r="P240" s="1390" t="s">
        <v>2179</v>
      </c>
      <c r="Q240" s="1386" t="str">
        <f>IFERROR(VLOOKUP('別紙様式2-2（４・５月分）'!AR182,【参考】数式用!$AT$5:$AV$22,3,FALSE),"")</f>
        <v/>
      </c>
      <c r="R240" s="1388" t="s">
        <v>2190</v>
      </c>
      <c r="S240" s="1394" t="str">
        <f>IFERROR(VLOOKUP(K238,【参考】数式用!$A$5:$AB$27,MATCH(Q240,【参考】数式用!$B$4:$AB$4,0)+1,0),"")</f>
        <v/>
      </c>
      <c r="T240" s="1459" t="s">
        <v>217</v>
      </c>
      <c r="U240" s="1461"/>
      <c r="V240" s="1463" t="str">
        <f>IFERROR(VLOOKUP(K238,【参考】数式用!$A$5:$AB$27,MATCH(U240,【参考】数式用!$B$4:$AB$4,0)+1,0),"")</f>
        <v/>
      </c>
      <c r="W240" s="1465" t="s">
        <v>19</v>
      </c>
      <c r="X240" s="1508">
        <v>7</v>
      </c>
      <c r="Y240" s="1407" t="s">
        <v>10</v>
      </c>
      <c r="Z240" s="1508">
        <v>4</v>
      </c>
      <c r="AA240" s="1407" t="s">
        <v>45</v>
      </c>
      <c r="AB240" s="1508">
        <v>8</v>
      </c>
      <c r="AC240" s="1407" t="s">
        <v>10</v>
      </c>
      <c r="AD240" s="1508">
        <v>3</v>
      </c>
      <c r="AE240" s="1407" t="s">
        <v>13</v>
      </c>
      <c r="AF240" s="1407" t="s">
        <v>24</v>
      </c>
      <c r="AG240" s="1407">
        <f>IF(X240&gt;=1,(AB240*12+AD240)-(X240*12+Z240)+1,"")</f>
        <v>12</v>
      </c>
      <c r="AH240" s="1409" t="s">
        <v>38</v>
      </c>
      <c r="AI240" s="1496" t="str">
        <f>IFERROR(ROUNDDOWN(ROUND(L238*V240,0)*M238,0)*AG240,"")</f>
        <v/>
      </c>
      <c r="AJ240" s="1510" t="str">
        <f>IFERROR(ROUNDDOWN(ROUND((L238*(V240-AX238)),0)*M238,0)*AG240,"")</f>
        <v/>
      </c>
      <c r="AK240" s="1494">
        <f>IFERROR(IF(OR(N238="",N239="",N241=""),0,ROUNDDOWN(ROUNDDOWN(ROUND(L238*VLOOKUP(K238,【参考】数式用!$A$5:$AB$27,MATCH("新加算Ⅳ",【参考】数式用!$B$4:$AB$4,0)+1,0),0)*M238,0)*AG240*0.5,0)),"")</f>
        <v>0</v>
      </c>
      <c r="AL240" s="1435" t="str">
        <f t="shared" ref="AL240" si="233">IF(U240&lt;&gt;"","新規に適用","")</f>
        <v/>
      </c>
      <c r="AM240" s="1498">
        <f>IFERROR(IF(OR(N241="ベア加算",N241=""),0, IF(OR(U238="新加算Ⅰ",U238="新加算Ⅱ",U238="新加算Ⅲ",U238="新加算Ⅳ"),0,ROUNDDOWN(ROUND(L238*VLOOKUP(K238,【参考】数式用!$A$5:$I$27,MATCH("ベア加算",【参考】数式用!$B$4:$I$4,0)+1,0),0)*M238,0)*AG240)),"")</f>
        <v>0</v>
      </c>
      <c r="AN240" s="1356" t="str">
        <f t="shared" ref="AN240" si="234">IF(AM240=0,"",IF(AND(U240&lt;&gt;"",AN238=""),"新規に適用",IF(AND(U240&lt;&gt;"",AN238&lt;&gt;""),"継続で適用","")))</f>
        <v/>
      </c>
      <c r="AO240" s="1356" t="str">
        <f>IF(AND(U240&lt;&gt;"",AO238=""),"新規に適用",IF(AND(U240&lt;&gt;"",AO238&lt;&gt;""),"継続で適用",""))</f>
        <v/>
      </c>
      <c r="AP240" s="1358"/>
      <c r="AQ240" s="1356" t="str">
        <f>IF(AND(U240&lt;&gt;"",AQ238=""),"新規に適用",IF(AND(U240&lt;&gt;"",AQ238&lt;&gt;""),"継続で適用",""))</f>
        <v/>
      </c>
      <c r="AR240" s="1344" t="str">
        <f t="shared" si="226"/>
        <v/>
      </c>
      <c r="AS240" s="1356" t="str">
        <f>IF(AND(U240&lt;&gt;"",AS238=""),"新規に適用",IF(AND(U240&lt;&gt;"",AS238&lt;&gt;""),"継続で適用",""))</f>
        <v/>
      </c>
      <c r="AT240" s="1331"/>
      <c r="AU240" s="651"/>
      <c r="AV240" s="1493" t="str">
        <f>IF(K238&lt;&gt;"","V列に色付け","")</f>
        <v/>
      </c>
      <c r="AW240" s="1518"/>
      <c r="AX240" s="1507"/>
      <c r="AY240" s="163"/>
      <c r="AZ240" s="163"/>
      <c r="BA240" s="163"/>
      <c r="BB240" s="163"/>
      <c r="BC240" s="163"/>
      <c r="BD240" s="163"/>
      <c r="BE240" s="163"/>
      <c r="BF240" s="163"/>
      <c r="BG240" s="163"/>
      <c r="BH240" s="163"/>
      <c r="BI240" s="163"/>
      <c r="BJ240" s="163"/>
      <c r="BK240" s="163"/>
      <c r="BL240" s="543" t="str">
        <f>G238</f>
        <v/>
      </c>
    </row>
    <row r="241" spans="1:64" ht="30" customHeight="1" thickBot="1">
      <c r="A241" s="1227"/>
      <c r="B241" s="1376"/>
      <c r="C241" s="1377"/>
      <c r="D241" s="1377"/>
      <c r="E241" s="1377"/>
      <c r="F241" s="1378"/>
      <c r="G241" s="1267"/>
      <c r="H241" s="1267"/>
      <c r="I241" s="1267"/>
      <c r="J241" s="1373"/>
      <c r="K241" s="1267"/>
      <c r="L241" s="1248"/>
      <c r="M241" s="1375"/>
      <c r="N241" s="650" t="str">
        <f>IF('別紙様式2-2（４・５月分）'!Q184="","",'別紙様式2-2（４・５月分）'!Q184)</f>
        <v/>
      </c>
      <c r="O241" s="1369"/>
      <c r="P241" s="1391"/>
      <c r="Q241" s="1387"/>
      <c r="R241" s="1389"/>
      <c r="S241" s="1395"/>
      <c r="T241" s="1460"/>
      <c r="U241" s="1462"/>
      <c r="V241" s="1464"/>
      <c r="W241" s="1466"/>
      <c r="X241" s="1509"/>
      <c r="Y241" s="1408"/>
      <c r="Z241" s="1509"/>
      <c r="AA241" s="1408"/>
      <c r="AB241" s="1509"/>
      <c r="AC241" s="1408"/>
      <c r="AD241" s="1509"/>
      <c r="AE241" s="1408"/>
      <c r="AF241" s="1408"/>
      <c r="AG241" s="1408"/>
      <c r="AH241" s="1410"/>
      <c r="AI241" s="1497"/>
      <c r="AJ241" s="1511"/>
      <c r="AK241" s="1495"/>
      <c r="AL241" s="1436"/>
      <c r="AM241" s="1499"/>
      <c r="AN241" s="1357"/>
      <c r="AO241" s="1357"/>
      <c r="AP241" s="1359"/>
      <c r="AQ241" s="1357"/>
      <c r="AR241" s="1345"/>
      <c r="AS241" s="1357"/>
      <c r="AT241" s="581" t="str">
        <f t="shared" ref="AT241" si="235">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51"/>
      <c r="AV241" s="1493"/>
      <c r="AW241" s="652" t="str">
        <f>IF('別紙様式2-2（４・５月分）'!O184="","",'別紙様式2-2（４・５月分）'!O184)</f>
        <v/>
      </c>
      <c r="AX241" s="1507"/>
      <c r="AY241" s="163"/>
      <c r="AZ241" s="163"/>
      <c r="BA241" s="163"/>
      <c r="BB241" s="163"/>
      <c r="BC241" s="163"/>
      <c r="BD241" s="163"/>
      <c r="BE241" s="163"/>
      <c r="BF241" s="163"/>
      <c r="BG241" s="163"/>
      <c r="BH241" s="163"/>
      <c r="BI241" s="163"/>
      <c r="BJ241" s="163"/>
      <c r="BK241" s="163"/>
      <c r="BL241" s="543" t="str">
        <f>G238</f>
        <v/>
      </c>
    </row>
    <row r="242" spans="1:64" ht="30" customHeight="1">
      <c r="A242" s="1241">
        <v>58</v>
      </c>
      <c r="B242" s="1271" t="str">
        <f>IF(基本情報入力シート!C111="","",基本情報入力シート!C111)</f>
        <v/>
      </c>
      <c r="C242" s="1259"/>
      <c r="D242" s="1259"/>
      <c r="E242" s="1259"/>
      <c r="F242" s="1260"/>
      <c r="G242" s="1265" t="str">
        <f>IF(基本情報入力シート!M111="","",基本情報入力シート!M111)</f>
        <v/>
      </c>
      <c r="H242" s="1265" t="str">
        <f>IF(基本情報入力シート!R111="","",基本情報入力シート!R111)</f>
        <v/>
      </c>
      <c r="I242" s="1265" t="str">
        <f>IF(基本情報入力シート!W111="","",基本情報入力シート!W111)</f>
        <v/>
      </c>
      <c r="J242" s="1379" t="str">
        <f>IF(基本情報入力シート!X111="","",基本情報入力シート!X111)</f>
        <v/>
      </c>
      <c r="K242" s="1265" t="str">
        <f>IF(基本情報入力シート!Y111="","",基本情報入力シート!Y111)</f>
        <v/>
      </c>
      <c r="L242" s="1246" t="str">
        <f>IF(基本情報入力シート!AB111="","",基本情報入力シート!AB111)</f>
        <v/>
      </c>
      <c r="M242" s="1249" t="str">
        <f>IF(基本情報入力シート!AC111="","",基本情報入力シート!AC111)</f>
        <v/>
      </c>
      <c r="N242" s="647" t="str">
        <f>IF('別紙様式2-2（４・５月分）'!Q185="","",'別紙様式2-2（４・５月分）'!Q185)</f>
        <v/>
      </c>
      <c r="O242" s="1366" t="str">
        <f>IF(SUM('別紙様式2-2（４・５月分）'!R185:R187)=0,"",SUM('別紙様式2-2（４・５月分）'!R185:R187))</f>
        <v/>
      </c>
      <c r="P242" s="1380" t="str">
        <f>IFERROR(VLOOKUP('別紙様式2-2（４・５月分）'!AR185,【参考】数式用!$AT$5:$AU$22,2,FALSE),"")</f>
        <v/>
      </c>
      <c r="Q242" s="1381"/>
      <c r="R242" s="1382"/>
      <c r="S242" s="1392" t="str">
        <f>IFERROR(VLOOKUP(K242,【参考】数式用!$A$5:$AB$27,MATCH(P242,【参考】数式用!$B$4:$AB$4,0)+1,0),"")</f>
        <v/>
      </c>
      <c r="T242" s="1413" t="s">
        <v>2173</v>
      </c>
      <c r="U242" s="1415"/>
      <c r="V242" s="1457" t="str">
        <f>IFERROR(VLOOKUP(K242,【参考】数式用!$A$5:$AB$27,MATCH(U242,【参考】数式用!$B$4:$AB$4,0)+1,0),"")</f>
        <v/>
      </c>
      <c r="W242" s="1350" t="s">
        <v>19</v>
      </c>
      <c r="X242" s="1352">
        <v>6</v>
      </c>
      <c r="Y242" s="1354" t="s">
        <v>10</v>
      </c>
      <c r="Z242" s="1352">
        <v>6</v>
      </c>
      <c r="AA242" s="1354" t="s">
        <v>45</v>
      </c>
      <c r="AB242" s="1352">
        <v>7</v>
      </c>
      <c r="AC242" s="1354" t="s">
        <v>10</v>
      </c>
      <c r="AD242" s="1352">
        <v>3</v>
      </c>
      <c r="AE242" s="1354" t="s">
        <v>13</v>
      </c>
      <c r="AF242" s="1354" t="s">
        <v>24</v>
      </c>
      <c r="AG242" s="1354">
        <f>IF(X242&gt;=1,(AB242*12+AD242)-(X242*12+Z242)+1,"")</f>
        <v>10</v>
      </c>
      <c r="AH242" s="1360" t="s">
        <v>38</v>
      </c>
      <c r="AI242" s="1481" t="str">
        <f>IFERROR(ROUNDDOWN(ROUND(L242*V242,0)*M242,0)*AG242,"")</f>
        <v/>
      </c>
      <c r="AJ242" s="1483" t="str">
        <f>IFERROR(ROUNDDOWN(ROUND((L242*(V242-AX242)),0)*M242,0)*AG242,"")</f>
        <v/>
      </c>
      <c r="AK242" s="1485">
        <f>IFERROR(IF(OR(N242="",N243="",N245=""),0,ROUNDDOWN(ROUNDDOWN(ROUND(L242*VLOOKUP(K242,【参考】数式用!$A$5:$AB$27,MATCH("新加算Ⅳ",【参考】数式用!$B$4:$AB$4,0)+1,0),0)*M242,0)*AG242*0.5,0)),"")</f>
        <v>0</v>
      </c>
      <c r="AL242" s="1433"/>
      <c r="AM242" s="1487">
        <f>IFERROR(IF(OR(N245="ベア加算",N245=""),0, IF(OR(U242="新加算Ⅰ",U242="新加算Ⅱ",U242="新加算Ⅲ",U242="新加算Ⅳ"),ROUNDDOWN(ROUND(L242*VLOOKUP(K242,【参考】数式用!$A$5:$I$27,MATCH("ベア加算",【参考】数式用!$B$4:$I$4,0)+1,0),0)*M242,0)*AG242,0)),"")</f>
        <v>0</v>
      </c>
      <c r="AN242" s="1502"/>
      <c r="AO242" s="1364"/>
      <c r="AP242" s="1403"/>
      <c r="AQ242" s="1403"/>
      <c r="AR242" s="1489"/>
      <c r="AS242" s="1491"/>
      <c r="AT242" s="556" t="str">
        <f t="shared" si="201"/>
        <v/>
      </c>
      <c r="AU242" s="651"/>
      <c r="AV242" s="1493" t="str">
        <f>IF(K242&lt;&gt;"","V列に色付け","")</f>
        <v/>
      </c>
      <c r="AW242" s="652" t="str">
        <f>IF('別紙様式2-2（４・５月分）'!O185="","",'別紙様式2-2（４・５月分）'!O185)</f>
        <v/>
      </c>
      <c r="AX242" s="1507" t="str">
        <f>IF(SUM('別紙様式2-2（４・５月分）'!P185:P187)=0,"",SUM('別紙様式2-2（４・５月分）'!P185:P187))</f>
        <v/>
      </c>
      <c r="AY242" s="1506" t="str">
        <f>IFERROR(VLOOKUP(K242,【参考】数式用!$AJ$2:$AK$24,2,FALSE),"")</f>
        <v/>
      </c>
      <c r="AZ242" s="1321" t="s">
        <v>2098</v>
      </c>
      <c r="BA242" s="1321" t="s">
        <v>2099</v>
      </c>
      <c r="BB242" s="1321" t="s">
        <v>2100</v>
      </c>
      <c r="BC242" s="1321" t="s">
        <v>2101</v>
      </c>
      <c r="BD242" s="1321" t="str">
        <f>IF(AND(P242&lt;&gt;"新加算Ⅰ",P242&lt;&gt;"新加算Ⅱ",P242&lt;&gt;"新加算Ⅲ",P242&lt;&gt;"新加算Ⅳ"),P242,IF(Q244&lt;&gt;"",Q244,""))</f>
        <v/>
      </c>
      <c r="BE242" s="1321"/>
      <c r="BF242" s="1321" t="str">
        <f t="shared" ref="BF242" si="236">IF(AM242&lt;&gt;0,IF(AN242="○","入力済","未入力"),"")</f>
        <v/>
      </c>
      <c r="BG242" s="1321"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321" t="str">
        <f>IF(OR(U242="新加算Ⅴ（７）",U242="新加算Ⅴ（９）",U242="新加算Ⅴ（10）",U242="新加算Ⅴ（12）",U242="新加算Ⅴ（13）",U242="新加算Ⅴ（14）"),IF(OR(AP242="○",AP242="令和６年度中に満たす"),"入力済","未入力"),"")</f>
        <v/>
      </c>
      <c r="BI242" s="1321" t="str">
        <f>IF(OR(U242="新加算Ⅰ",U242="新加算Ⅱ",U242="新加算Ⅲ",U242="新加算Ⅴ（１）",U242="新加算Ⅴ（３）",U242="新加算Ⅴ（８）"),IF(OR(AQ242="○",AQ242="令和６年度中に満たす"),"入力済","未入力"),"")</f>
        <v/>
      </c>
      <c r="BJ242" s="1512"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493" t="str">
        <f>IF(OR(U242="新加算Ⅰ",U242="新加算Ⅴ（１）",U242="新加算Ⅴ（２）",U242="新加算Ⅴ（５）",U242="新加算Ⅴ（７）",U242="新加算Ⅴ（10）"),IF(AS242="","未入力","入力済"),"")</f>
        <v/>
      </c>
      <c r="BL242" s="543" t="str">
        <f>G242</f>
        <v/>
      </c>
    </row>
    <row r="243" spans="1:64" ht="15" customHeight="1">
      <c r="A243" s="1226"/>
      <c r="B243" s="1272"/>
      <c r="C243" s="1261"/>
      <c r="D243" s="1261"/>
      <c r="E243" s="1261"/>
      <c r="F243" s="1262"/>
      <c r="G243" s="1266"/>
      <c r="H243" s="1266"/>
      <c r="I243" s="1266"/>
      <c r="J243" s="1372"/>
      <c r="K243" s="1266"/>
      <c r="L243" s="1247"/>
      <c r="M243" s="1250"/>
      <c r="N243" s="1370" t="str">
        <f>IF('別紙様式2-2（４・５月分）'!Q186="","",'別紙様式2-2（４・５月分）'!Q186)</f>
        <v/>
      </c>
      <c r="O243" s="1367"/>
      <c r="P243" s="1383"/>
      <c r="Q243" s="1384"/>
      <c r="R243" s="1385"/>
      <c r="S243" s="1393"/>
      <c r="T243" s="1414"/>
      <c r="U243" s="1416"/>
      <c r="V243" s="1458"/>
      <c r="W243" s="1351"/>
      <c r="X243" s="1353"/>
      <c r="Y243" s="1355"/>
      <c r="Z243" s="1353"/>
      <c r="AA243" s="1355"/>
      <c r="AB243" s="1353"/>
      <c r="AC243" s="1355"/>
      <c r="AD243" s="1353"/>
      <c r="AE243" s="1355"/>
      <c r="AF243" s="1355"/>
      <c r="AG243" s="1355"/>
      <c r="AH243" s="1361"/>
      <c r="AI243" s="1482"/>
      <c r="AJ243" s="1484"/>
      <c r="AK243" s="1486"/>
      <c r="AL243" s="1434"/>
      <c r="AM243" s="1488"/>
      <c r="AN243" s="1503"/>
      <c r="AO243" s="1365"/>
      <c r="AP243" s="1404"/>
      <c r="AQ243" s="1404"/>
      <c r="AR243" s="1490"/>
      <c r="AS243" s="1492"/>
      <c r="AT243" s="1331" t="str">
        <f t="shared" si="203"/>
        <v/>
      </c>
      <c r="AU243" s="651"/>
      <c r="AV243" s="1493"/>
      <c r="AW243" s="1518" t="str">
        <f>IF('別紙様式2-2（４・５月分）'!O186="","",'別紙様式2-2（４・５月分）'!O186)</f>
        <v/>
      </c>
      <c r="AX243" s="1507"/>
      <c r="AY243" s="1506"/>
      <c r="AZ243" s="1321"/>
      <c r="BA243" s="1321"/>
      <c r="BB243" s="1321"/>
      <c r="BC243" s="1321"/>
      <c r="BD243" s="1321"/>
      <c r="BE243" s="1321"/>
      <c r="BF243" s="1321"/>
      <c r="BG243" s="1321"/>
      <c r="BH243" s="1321"/>
      <c r="BI243" s="1321"/>
      <c r="BJ243" s="1512"/>
      <c r="BK243" s="1493"/>
      <c r="BL243" s="543" t="str">
        <f>G242</f>
        <v/>
      </c>
    </row>
    <row r="244" spans="1:64" ht="15" customHeight="1">
      <c r="A244" s="1240"/>
      <c r="B244" s="1272"/>
      <c r="C244" s="1261"/>
      <c r="D244" s="1261"/>
      <c r="E244" s="1261"/>
      <c r="F244" s="1262"/>
      <c r="G244" s="1266"/>
      <c r="H244" s="1266"/>
      <c r="I244" s="1266"/>
      <c r="J244" s="1372"/>
      <c r="K244" s="1266"/>
      <c r="L244" s="1247"/>
      <c r="M244" s="1250"/>
      <c r="N244" s="1371"/>
      <c r="O244" s="1368"/>
      <c r="P244" s="1390" t="s">
        <v>2179</v>
      </c>
      <c r="Q244" s="1386" t="str">
        <f>IFERROR(VLOOKUP('別紙様式2-2（４・５月分）'!AR185,【参考】数式用!$AT$5:$AV$22,3,FALSE),"")</f>
        <v/>
      </c>
      <c r="R244" s="1388" t="s">
        <v>2190</v>
      </c>
      <c r="S244" s="1396" t="str">
        <f>IFERROR(VLOOKUP(K242,【参考】数式用!$A$5:$AB$27,MATCH(Q244,【参考】数式用!$B$4:$AB$4,0)+1,0),"")</f>
        <v/>
      </c>
      <c r="T244" s="1459" t="s">
        <v>217</v>
      </c>
      <c r="U244" s="1461"/>
      <c r="V244" s="1463" t="str">
        <f>IFERROR(VLOOKUP(K242,【参考】数式用!$A$5:$AB$27,MATCH(U244,【参考】数式用!$B$4:$AB$4,0)+1,0),"")</f>
        <v/>
      </c>
      <c r="W244" s="1465" t="s">
        <v>19</v>
      </c>
      <c r="X244" s="1508">
        <v>7</v>
      </c>
      <c r="Y244" s="1407" t="s">
        <v>10</v>
      </c>
      <c r="Z244" s="1508">
        <v>4</v>
      </c>
      <c r="AA244" s="1407" t="s">
        <v>45</v>
      </c>
      <c r="AB244" s="1508">
        <v>8</v>
      </c>
      <c r="AC244" s="1407" t="s">
        <v>10</v>
      </c>
      <c r="AD244" s="1508">
        <v>3</v>
      </c>
      <c r="AE244" s="1407" t="s">
        <v>13</v>
      </c>
      <c r="AF244" s="1407" t="s">
        <v>24</v>
      </c>
      <c r="AG244" s="1407">
        <f>IF(X244&gt;=1,(AB244*12+AD244)-(X244*12+Z244)+1,"")</f>
        <v>12</v>
      </c>
      <c r="AH244" s="1409" t="s">
        <v>38</v>
      </c>
      <c r="AI244" s="1496" t="str">
        <f>IFERROR(ROUNDDOWN(ROUND(L242*V244,0)*M242,0)*AG244,"")</f>
        <v/>
      </c>
      <c r="AJ244" s="1510" t="str">
        <f>IFERROR(ROUNDDOWN(ROUND((L242*(V244-AX242)),0)*M242,0)*AG244,"")</f>
        <v/>
      </c>
      <c r="AK244" s="1494">
        <f>IFERROR(IF(OR(N242="",N243="",N245=""),0,ROUNDDOWN(ROUNDDOWN(ROUND(L242*VLOOKUP(K242,【参考】数式用!$A$5:$AB$27,MATCH("新加算Ⅳ",【参考】数式用!$B$4:$AB$4,0)+1,0),0)*M242,0)*AG244*0.5,0)),"")</f>
        <v>0</v>
      </c>
      <c r="AL244" s="1435" t="str">
        <f t="shared" ref="AL244" si="237">IF(U244&lt;&gt;"","新規に適用","")</f>
        <v/>
      </c>
      <c r="AM244" s="1498">
        <f>IFERROR(IF(OR(N245="ベア加算",N245=""),0, IF(OR(U242="新加算Ⅰ",U242="新加算Ⅱ",U242="新加算Ⅲ",U242="新加算Ⅳ"),0,ROUNDDOWN(ROUND(L242*VLOOKUP(K242,【参考】数式用!$A$5:$I$27,MATCH("ベア加算",【参考】数式用!$B$4:$I$4,0)+1,0),0)*M242,0)*AG244)),"")</f>
        <v>0</v>
      </c>
      <c r="AN244" s="1356" t="str">
        <f t="shared" ref="AN244" si="238">IF(AM244=0,"",IF(AND(U244&lt;&gt;"",AN242=""),"新規に適用",IF(AND(U244&lt;&gt;"",AN242&lt;&gt;""),"継続で適用","")))</f>
        <v/>
      </c>
      <c r="AO244" s="1356" t="str">
        <f>IF(AND(U244&lt;&gt;"",AO242=""),"新規に適用",IF(AND(U244&lt;&gt;"",AO242&lt;&gt;""),"継続で適用",""))</f>
        <v/>
      </c>
      <c r="AP244" s="1358"/>
      <c r="AQ244" s="1356" t="str">
        <f>IF(AND(U244&lt;&gt;"",AQ242=""),"新規に適用",IF(AND(U244&lt;&gt;"",AQ242&lt;&gt;""),"継続で適用",""))</f>
        <v/>
      </c>
      <c r="AR244" s="1344" t="str">
        <f t="shared" si="226"/>
        <v/>
      </c>
      <c r="AS244" s="1356" t="str">
        <f>IF(AND(U244&lt;&gt;"",AS242=""),"新規に適用",IF(AND(U244&lt;&gt;"",AS242&lt;&gt;""),"継続で適用",""))</f>
        <v/>
      </c>
      <c r="AT244" s="1331"/>
      <c r="AU244" s="651"/>
      <c r="AV244" s="1493" t="str">
        <f>IF(K242&lt;&gt;"","V列に色付け","")</f>
        <v/>
      </c>
      <c r="AW244" s="1518"/>
      <c r="AX244" s="1507"/>
      <c r="AY244" s="163"/>
      <c r="AZ244" s="163"/>
      <c r="BA244" s="163"/>
      <c r="BB244" s="163"/>
      <c r="BC244" s="163"/>
      <c r="BD244" s="163"/>
      <c r="BE244" s="163"/>
      <c r="BF244" s="163"/>
      <c r="BG244" s="163"/>
      <c r="BH244" s="163"/>
      <c r="BI244" s="163"/>
      <c r="BJ244" s="163"/>
      <c r="BK244" s="163"/>
      <c r="BL244" s="543" t="str">
        <f>G242</f>
        <v/>
      </c>
    </row>
    <row r="245" spans="1:64" ht="30" customHeight="1" thickBot="1">
      <c r="A245" s="1227"/>
      <c r="B245" s="1376"/>
      <c r="C245" s="1377"/>
      <c r="D245" s="1377"/>
      <c r="E245" s="1377"/>
      <c r="F245" s="1378"/>
      <c r="G245" s="1267"/>
      <c r="H245" s="1267"/>
      <c r="I245" s="1267"/>
      <c r="J245" s="1373"/>
      <c r="K245" s="1267"/>
      <c r="L245" s="1248"/>
      <c r="M245" s="1251"/>
      <c r="N245" s="650" t="str">
        <f>IF('別紙様式2-2（４・５月分）'!Q187="","",'別紙様式2-2（４・５月分）'!Q187)</f>
        <v/>
      </c>
      <c r="O245" s="1369"/>
      <c r="P245" s="1391"/>
      <c r="Q245" s="1387"/>
      <c r="R245" s="1389"/>
      <c r="S245" s="1395"/>
      <c r="T245" s="1460"/>
      <c r="U245" s="1462"/>
      <c r="V245" s="1464"/>
      <c r="W245" s="1466"/>
      <c r="X245" s="1509"/>
      <c r="Y245" s="1408"/>
      <c r="Z245" s="1509"/>
      <c r="AA245" s="1408"/>
      <c r="AB245" s="1509"/>
      <c r="AC245" s="1408"/>
      <c r="AD245" s="1509"/>
      <c r="AE245" s="1408"/>
      <c r="AF245" s="1408"/>
      <c r="AG245" s="1408"/>
      <c r="AH245" s="1410"/>
      <c r="AI245" s="1497"/>
      <c r="AJ245" s="1511"/>
      <c r="AK245" s="1495"/>
      <c r="AL245" s="1436"/>
      <c r="AM245" s="1499"/>
      <c r="AN245" s="1357"/>
      <c r="AO245" s="1357"/>
      <c r="AP245" s="1359"/>
      <c r="AQ245" s="1357"/>
      <c r="AR245" s="1345"/>
      <c r="AS245" s="1357"/>
      <c r="AT245" s="581" t="str">
        <f t="shared" ref="AT245" si="239">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51"/>
      <c r="AV245" s="1493"/>
      <c r="AW245" s="652" t="str">
        <f>IF('別紙様式2-2（４・５月分）'!O187="","",'別紙様式2-2（４・５月分）'!O187)</f>
        <v/>
      </c>
      <c r="AX245" s="1507"/>
      <c r="AY245" s="163"/>
      <c r="AZ245" s="163"/>
      <c r="BA245" s="163"/>
      <c r="BB245" s="163"/>
      <c r="BC245" s="163"/>
      <c r="BD245" s="163"/>
      <c r="BE245" s="163"/>
      <c r="BF245" s="163"/>
      <c r="BG245" s="163"/>
      <c r="BH245" s="163"/>
      <c r="BI245" s="163"/>
      <c r="BJ245" s="163"/>
      <c r="BK245" s="163"/>
      <c r="BL245" s="543" t="str">
        <f>G242</f>
        <v/>
      </c>
    </row>
    <row r="246" spans="1:64" ht="30" customHeight="1">
      <c r="A246" s="1225">
        <v>59</v>
      </c>
      <c r="B246" s="1272" t="str">
        <f>IF(基本情報入力シート!C112="","",基本情報入力シート!C112)</f>
        <v/>
      </c>
      <c r="C246" s="1261"/>
      <c r="D246" s="1261"/>
      <c r="E246" s="1261"/>
      <c r="F246" s="1262"/>
      <c r="G246" s="1266" t="str">
        <f>IF(基本情報入力シート!M112="","",基本情報入力シート!M112)</f>
        <v/>
      </c>
      <c r="H246" s="1266" t="str">
        <f>IF(基本情報入力シート!R112="","",基本情報入力シート!R112)</f>
        <v/>
      </c>
      <c r="I246" s="1266" t="str">
        <f>IF(基本情報入力シート!W112="","",基本情報入力シート!W112)</f>
        <v/>
      </c>
      <c r="J246" s="1372" t="str">
        <f>IF(基本情報入力シート!X112="","",基本情報入力シート!X112)</f>
        <v/>
      </c>
      <c r="K246" s="1266" t="str">
        <f>IF(基本情報入力シート!Y112="","",基本情報入力シート!Y112)</f>
        <v/>
      </c>
      <c r="L246" s="1247" t="str">
        <f>IF(基本情報入力シート!AB112="","",基本情報入力シート!AB112)</f>
        <v/>
      </c>
      <c r="M246" s="1374" t="str">
        <f>IF(基本情報入力シート!AC112="","",基本情報入力シート!AC112)</f>
        <v/>
      </c>
      <c r="N246" s="647" t="str">
        <f>IF('別紙様式2-2（４・５月分）'!Q188="","",'別紙様式2-2（４・５月分）'!Q188)</f>
        <v/>
      </c>
      <c r="O246" s="1366" t="str">
        <f>IF(SUM('別紙様式2-2（４・５月分）'!R188:R190)=0,"",SUM('別紙様式2-2（４・５月分）'!R188:R190))</f>
        <v/>
      </c>
      <c r="P246" s="1380" t="str">
        <f>IFERROR(VLOOKUP('別紙様式2-2（４・５月分）'!AR188,【参考】数式用!$AT$5:$AU$22,2,FALSE),"")</f>
        <v/>
      </c>
      <c r="Q246" s="1381"/>
      <c r="R246" s="1382"/>
      <c r="S246" s="1392" t="str">
        <f>IFERROR(VLOOKUP(K246,【参考】数式用!$A$5:$AB$27,MATCH(P246,【参考】数式用!$B$4:$AB$4,0)+1,0),"")</f>
        <v/>
      </c>
      <c r="T246" s="1413" t="s">
        <v>2173</v>
      </c>
      <c r="U246" s="1415"/>
      <c r="V246" s="1457" t="str">
        <f>IFERROR(VLOOKUP(K246,【参考】数式用!$A$5:$AB$27,MATCH(U246,【参考】数式用!$B$4:$AB$4,0)+1,0),"")</f>
        <v/>
      </c>
      <c r="W246" s="1350" t="s">
        <v>19</v>
      </c>
      <c r="X246" s="1352">
        <v>6</v>
      </c>
      <c r="Y246" s="1354" t="s">
        <v>10</v>
      </c>
      <c r="Z246" s="1352">
        <v>6</v>
      </c>
      <c r="AA246" s="1354" t="s">
        <v>45</v>
      </c>
      <c r="AB246" s="1352">
        <v>7</v>
      </c>
      <c r="AC246" s="1354" t="s">
        <v>10</v>
      </c>
      <c r="AD246" s="1352">
        <v>3</v>
      </c>
      <c r="AE246" s="1354" t="s">
        <v>13</v>
      </c>
      <c r="AF246" s="1354" t="s">
        <v>24</v>
      </c>
      <c r="AG246" s="1354">
        <f>IF(X246&gt;=1,(AB246*12+AD246)-(X246*12+Z246)+1,"")</f>
        <v>10</v>
      </c>
      <c r="AH246" s="1360" t="s">
        <v>38</v>
      </c>
      <c r="AI246" s="1481" t="str">
        <f>IFERROR(ROUNDDOWN(ROUND(L246*V246,0)*M246,0)*AG246,"")</f>
        <v/>
      </c>
      <c r="AJ246" s="1483" t="str">
        <f>IFERROR(ROUNDDOWN(ROUND((L246*(V246-AX246)),0)*M246,0)*AG246,"")</f>
        <v/>
      </c>
      <c r="AK246" s="1485">
        <f>IFERROR(IF(OR(N246="",N247="",N249=""),0,ROUNDDOWN(ROUNDDOWN(ROUND(L246*VLOOKUP(K246,【参考】数式用!$A$5:$AB$27,MATCH("新加算Ⅳ",【参考】数式用!$B$4:$AB$4,0)+1,0),0)*M246,0)*AG246*0.5,0)),"")</f>
        <v>0</v>
      </c>
      <c r="AL246" s="1433"/>
      <c r="AM246" s="1487">
        <f>IFERROR(IF(OR(N249="ベア加算",N249=""),0, IF(OR(U246="新加算Ⅰ",U246="新加算Ⅱ",U246="新加算Ⅲ",U246="新加算Ⅳ"),ROUNDDOWN(ROUND(L246*VLOOKUP(K246,【参考】数式用!$A$5:$I$27,MATCH("ベア加算",【参考】数式用!$B$4:$I$4,0)+1,0),0)*M246,0)*AG246,0)),"")</f>
        <v>0</v>
      </c>
      <c r="AN246" s="1502"/>
      <c r="AO246" s="1364"/>
      <c r="AP246" s="1403"/>
      <c r="AQ246" s="1403"/>
      <c r="AR246" s="1489"/>
      <c r="AS246" s="1491"/>
      <c r="AT246" s="556" t="str">
        <f t="shared" si="201"/>
        <v/>
      </c>
      <c r="AU246" s="651"/>
      <c r="AV246" s="1493" t="str">
        <f>IF(K246&lt;&gt;"","V列に色付け","")</f>
        <v/>
      </c>
      <c r="AW246" s="652" t="str">
        <f>IF('別紙様式2-2（４・５月分）'!O188="","",'別紙様式2-2（４・５月分）'!O188)</f>
        <v/>
      </c>
      <c r="AX246" s="1507" t="str">
        <f>IF(SUM('別紙様式2-2（４・５月分）'!P188:P190)=0,"",SUM('別紙様式2-2（４・５月分）'!P188:P190))</f>
        <v/>
      </c>
      <c r="AY246" s="1506" t="str">
        <f>IFERROR(VLOOKUP(K246,【参考】数式用!$AJ$2:$AK$24,2,FALSE),"")</f>
        <v/>
      </c>
      <c r="AZ246" s="1321" t="s">
        <v>2098</v>
      </c>
      <c r="BA246" s="1321" t="s">
        <v>2099</v>
      </c>
      <c r="BB246" s="1321" t="s">
        <v>2100</v>
      </c>
      <c r="BC246" s="1321" t="s">
        <v>2101</v>
      </c>
      <c r="BD246" s="1321" t="str">
        <f>IF(AND(P246&lt;&gt;"新加算Ⅰ",P246&lt;&gt;"新加算Ⅱ",P246&lt;&gt;"新加算Ⅲ",P246&lt;&gt;"新加算Ⅳ"),P246,IF(Q248&lt;&gt;"",Q248,""))</f>
        <v/>
      </c>
      <c r="BE246" s="1321"/>
      <c r="BF246" s="1321" t="str">
        <f t="shared" ref="BF246" si="240">IF(AM246&lt;&gt;0,IF(AN246="○","入力済","未入力"),"")</f>
        <v/>
      </c>
      <c r="BG246" s="1321"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321" t="str">
        <f>IF(OR(U246="新加算Ⅴ（７）",U246="新加算Ⅴ（９）",U246="新加算Ⅴ（10）",U246="新加算Ⅴ（12）",U246="新加算Ⅴ（13）",U246="新加算Ⅴ（14）"),IF(OR(AP246="○",AP246="令和６年度中に満たす"),"入力済","未入力"),"")</f>
        <v/>
      </c>
      <c r="BI246" s="1321" t="str">
        <f>IF(OR(U246="新加算Ⅰ",U246="新加算Ⅱ",U246="新加算Ⅲ",U246="新加算Ⅴ（１）",U246="新加算Ⅴ（３）",U246="新加算Ⅴ（８）"),IF(OR(AQ246="○",AQ246="令和６年度中に満たす"),"入力済","未入力"),"")</f>
        <v/>
      </c>
      <c r="BJ246" s="1512"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493" t="str">
        <f>IF(OR(U246="新加算Ⅰ",U246="新加算Ⅴ（１）",U246="新加算Ⅴ（２）",U246="新加算Ⅴ（５）",U246="新加算Ⅴ（７）",U246="新加算Ⅴ（10）"),IF(AS246="","未入力","入力済"),"")</f>
        <v/>
      </c>
      <c r="BL246" s="543" t="str">
        <f>G246</f>
        <v/>
      </c>
    </row>
    <row r="247" spans="1:64" ht="15" customHeight="1">
      <c r="A247" s="1226"/>
      <c r="B247" s="1272"/>
      <c r="C247" s="1261"/>
      <c r="D247" s="1261"/>
      <c r="E247" s="1261"/>
      <c r="F247" s="1262"/>
      <c r="G247" s="1266"/>
      <c r="H247" s="1266"/>
      <c r="I247" s="1266"/>
      <c r="J247" s="1372"/>
      <c r="K247" s="1266"/>
      <c r="L247" s="1247"/>
      <c r="M247" s="1374"/>
      <c r="N247" s="1370" t="str">
        <f>IF('別紙様式2-2（４・５月分）'!Q189="","",'別紙様式2-2（４・５月分）'!Q189)</f>
        <v/>
      </c>
      <c r="O247" s="1367"/>
      <c r="P247" s="1383"/>
      <c r="Q247" s="1384"/>
      <c r="R247" s="1385"/>
      <c r="S247" s="1393"/>
      <c r="T247" s="1414"/>
      <c r="U247" s="1416"/>
      <c r="V247" s="1458"/>
      <c r="W247" s="1351"/>
      <c r="X247" s="1353"/>
      <c r="Y247" s="1355"/>
      <c r="Z247" s="1353"/>
      <c r="AA247" s="1355"/>
      <c r="AB247" s="1353"/>
      <c r="AC247" s="1355"/>
      <c r="AD247" s="1353"/>
      <c r="AE247" s="1355"/>
      <c r="AF247" s="1355"/>
      <c r="AG247" s="1355"/>
      <c r="AH247" s="1361"/>
      <c r="AI247" s="1482"/>
      <c r="AJ247" s="1484"/>
      <c r="AK247" s="1486"/>
      <c r="AL247" s="1434"/>
      <c r="AM247" s="1488"/>
      <c r="AN247" s="1503"/>
      <c r="AO247" s="1365"/>
      <c r="AP247" s="1404"/>
      <c r="AQ247" s="1404"/>
      <c r="AR247" s="1490"/>
      <c r="AS247" s="1492"/>
      <c r="AT247" s="1331" t="str">
        <f t="shared" si="203"/>
        <v/>
      </c>
      <c r="AU247" s="651"/>
      <c r="AV247" s="1493"/>
      <c r="AW247" s="1518" t="str">
        <f>IF('別紙様式2-2（４・５月分）'!O189="","",'別紙様式2-2（４・５月分）'!O189)</f>
        <v/>
      </c>
      <c r="AX247" s="1507"/>
      <c r="AY247" s="1506"/>
      <c r="AZ247" s="1321"/>
      <c r="BA247" s="1321"/>
      <c r="BB247" s="1321"/>
      <c r="BC247" s="1321"/>
      <c r="BD247" s="1321"/>
      <c r="BE247" s="1321"/>
      <c r="BF247" s="1321"/>
      <c r="BG247" s="1321"/>
      <c r="BH247" s="1321"/>
      <c r="BI247" s="1321"/>
      <c r="BJ247" s="1512"/>
      <c r="BK247" s="1493"/>
      <c r="BL247" s="543" t="str">
        <f>G246</f>
        <v/>
      </c>
    </row>
    <row r="248" spans="1:64" ht="15" customHeight="1">
      <c r="A248" s="1240"/>
      <c r="B248" s="1272"/>
      <c r="C248" s="1261"/>
      <c r="D248" s="1261"/>
      <c r="E248" s="1261"/>
      <c r="F248" s="1262"/>
      <c r="G248" s="1266"/>
      <c r="H248" s="1266"/>
      <c r="I248" s="1266"/>
      <c r="J248" s="1372"/>
      <c r="K248" s="1266"/>
      <c r="L248" s="1247"/>
      <c r="M248" s="1374"/>
      <c r="N248" s="1371"/>
      <c r="O248" s="1368"/>
      <c r="P248" s="1390" t="s">
        <v>2179</v>
      </c>
      <c r="Q248" s="1386" t="str">
        <f>IFERROR(VLOOKUP('別紙様式2-2（４・５月分）'!AR188,【参考】数式用!$AT$5:$AV$22,3,FALSE),"")</f>
        <v/>
      </c>
      <c r="R248" s="1388" t="s">
        <v>2190</v>
      </c>
      <c r="S248" s="1394" t="str">
        <f>IFERROR(VLOOKUP(K246,【参考】数式用!$A$5:$AB$27,MATCH(Q248,【参考】数式用!$B$4:$AB$4,0)+1,0),"")</f>
        <v/>
      </c>
      <c r="T248" s="1459" t="s">
        <v>217</v>
      </c>
      <c r="U248" s="1461"/>
      <c r="V248" s="1463" t="str">
        <f>IFERROR(VLOOKUP(K246,【参考】数式用!$A$5:$AB$27,MATCH(U248,【参考】数式用!$B$4:$AB$4,0)+1,0),"")</f>
        <v/>
      </c>
      <c r="W248" s="1465" t="s">
        <v>19</v>
      </c>
      <c r="X248" s="1508">
        <v>7</v>
      </c>
      <c r="Y248" s="1407" t="s">
        <v>10</v>
      </c>
      <c r="Z248" s="1508">
        <v>4</v>
      </c>
      <c r="AA248" s="1407" t="s">
        <v>45</v>
      </c>
      <c r="AB248" s="1508">
        <v>8</v>
      </c>
      <c r="AC248" s="1407" t="s">
        <v>10</v>
      </c>
      <c r="AD248" s="1508">
        <v>3</v>
      </c>
      <c r="AE248" s="1407" t="s">
        <v>13</v>
      </c>
      <c r="AF248" s="1407" t="s">
        <v>24</v>
      </c>
      <c r="AG248" s="1407">
        <f>IF(X248&gt;=1,(AB248*12+AD248)-(X248*12+Z248)+1,"")</f>
        <v>12</v>
      </c>
      <c r="AH248" s="1409" t="s">
        <v>38</v>
      </c>
      <c r="AI248" s="1496" t="str">
        <f>IFERROR(ROUNDDOWN(ROUND(L246*V248,0)*M246,0)*AG248,"")</f>
        <v/>
      </c>
      <c r="AJ248" s="1510" t="str">
        <f>IFERROR(ROUNDDOWN(ROUND((L246*(V248-AX246)),0)*M246,0)*AG248,"")</f>
        <v/>
      </c>
      <c r="AK248" s="1494">
        <f>IFERROR(IF(OR(N246="",N247="",N249=""),0,ROUNDDOWN(ROUNDDOWN(ROUND(L246*VLOOKUP(K246,【参考】数式用!$A$5:$AB$27,MATCH("新加算Ⅳ",【参考】数式用!$B$4:$AB$4,0)+1,0),0)*M246,0)*AG248*0.5,0)),"")</f>
        <v>0</v>
      </c>
      <c r="AL248" s="1435" t="str">
        <f t="shared" ref="AL248" si="241">IF(U248&lt;&gt;"","新規に適用","")</f>
        <v/>
      </c>
      <c r="AM248" s="1498">
        <f>IFERROR(IF(OR(N249="ベア加算",N249=""),0, IF(OR(U246="新加算Ⅰ",U246="新加算Ⅱ",U246="新加算Ⅲ",U246="新加算Ⅳ"),0,ROUNDDOWN(ROUND(L246*VLOOKUP(K246,【参考】数式用!$A$5:$I$27,MATCH("ベア加算",【参考】数式用!$B$4:$I$4,0)+1,0),0)*M246,0)*AG248)),"")</f>
        <v>0</v>
      </c>
      <c r="AN248" s="1356" t="str">
        <f t="shared" ref="AN248" si="242">IF(AM248=0,"",IF(AND(U248&lt;&gt;"",AN246=""),"新規に適用",IF(AND(U248&lt;&gt;"",AN246&lt;&gt;""),"継続で適用","")))</f>
        <v/>
      </c>
      <c r="AO248" s="1356" t="str">
        <f>IF(AND(U248&lt;&gt;"",AO246=""),"新規に適用",IF(AND(U248&lt;&gt;"",AO246&lt;&gt;""),"継続で適用",""))</f>
        <v/>
      </c>
      <c r="AP248" s="1358"/>
      <c r="AQ248" s="1356" t="str">
        <f>IF(AND(U248&lt;&gt;"",AQ246=""),"新規に適用",IF(AND(U248&lt;&gt;"",AQ246&lt;&gt;""),"継続で適用",""))</f>
        <v/>
      </c>
      <c r="AR248" s="1344" t="str">
        <f t="shared" si="226"/>
        <v/>
      </c>
      <c r="AS248" s="1356" t="str">
        <f>IF(AND(U248&lt;&gt;"",AS246=""),"新規に適用",IF(AND(U248&lt;&gt;"",AS246&lt;&gt;""),"継続で適用",""))</f>
        <v/>
      </c>
      <c r="AT248" s="1331"/>
      <c r="AU248" s="651"/>
      <c r="AV248" s="1493" t="str">
        <f>IF(K246&lt;&gt;"","V列に色付け","")</f>
        <v/>
      </c>
      <c r="AW248" s="1518"/>
      <c r="AX248" s="1507"/>
      <c r="AY248" s="163"/>
      <c r="AZ248" s="163"/>
      <c r="BA248" s="163"/>
      <c r="BB248" s="163"/>
      <c r="BC248" s="163"/>
      <c r="BD248" s="163"/>
      <c r="BE248" s="163"/>
      <c r="BF248" s="163"/>
      <c r="BG248" s="163"/>
      <c r="BH248" s="163"/>
      <c r="BI248" s="163"/>
      <c r="BJ248" s="163"/>
      <c r="BK248" s="163"/>
      <c r="BL248" s="543" t="str">
        <f>G246</f>
        <v/>
      </c>
    </row>
    <row r="249" spans="1:64" ht="30" customHeight="1" thickBot="1">
      <c r="A249" s="1227"/>
      <c r="B249" s="1376"/>
      <c r="C249" s="1377"/>
      <c r="D249" s="1377"/>
      <c r="E249" s="1377"/>
      <c r="F249" s="1378"/>
      <c r="G249" s="1267"/>
      <c r="H249" s="1267"/>
      <c r="I249" s="1267"/>
      <c r="J249" s="1373"/>
      <c r="K249" s="1267"/>
      <c r="L249" s="1248"/>
      <c r="M249" s="1375"/>
      <c r="N249" s="650" t="str">
        <f>IF('別紙様式2-2（４・５月分）'!Q190="","",'別紙様式2-2（４・５月分）'!Q190)</f>
        <v/>
      </c>
      <c r="O249" s="1369"/>
      <c r="P249" s="1391"/>
      <c r="Q249" s="1387"/>
      <c r="R249" s="1389"/>
      <c r="S249" s="1395"/>
      <c r="T249" s="1460"/>
      <c r="U249" s="1462"/>
      <c r="V249" s="1464"/>
      <c r="W249" s="1466"/>
      <c r="X249" s="1509"/>
      <c r="Y249" s="1408"/>
      <c r="Z249" s="1509"/>
      <c r="AA249" s="1408"/>
      <c r="AB249" s="1509"/>
      <c r="AC249" s="1408"/>
      <c r="AD249" s="1509"/>
      <c r="AE249" s="1408"/>
      <c r="AF249" s="1408"/>
      <c r="AG249" s="1408"/>
      <c r="AH249" s="1410"/>
      <c r="AI249" s="1497"/>
      <c r="AJ249" s="1511"/>
      <c r="AK249" s="1495"/>
      <c r="AL249" s="1436"/>
      <c r="AM249" s="1499"/>
      <c r="AN249" s="1357"/>
      <c r="AO249" s="1357"/>
      <c r="AP249" s="1359"/>
      <c r="AQ249" s="1357"/>
      <c r="AR249" s="1345"/>
      <c r="AS249" s="1357"/>
      <c r="AT249" s="581" t="str">
        <f t="shared" ref="AT249" si="243">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51"/>
      <c r="AV249" s="1493"/>
      <c r="AW249" s="652" t="str">
        <f>IF('別紙様式2-2（４・５月分）'!O190="","",'別紙様式2-2（４・５月分）'!O190)</f>
        <v/>
      </c>
      <c r="AX249" s="1507"/>
      <c r="AY249" s="163"/>
      <c r="AZ249" s="163"/>
      <c r="BA249" s="163"/>
      <c r="BB249" s="163"/>
      <c r="BC249" s="163"/>
      <c r="BD249" s="163"/>
      <c r="BE249" s="163"/>
      <c r="BF249" s="163"/>
      <c r="BG249" s="163"/>
      <c r="BH249" s="163"/>
      <c r="BI249" s="163"/>
      <c r="BJ249" s="163"/>
      <c r="BK249" s="163"/>
      <c r="BL249" s="543" t="str">
        <f>G246</f>
        <v/>
      </c>
    </row>
    <row r="250" spans="1:64" ht="30" customHeight="1">
      <c r="A250" s="1241">
        <v>60</v>
      </c>
      <c r="B250" s="1271" t="str">
        <f>IF(基本情報入力シート!C113="","",基本情報入力シート!C113)</f>
        <v/>
      </c>
      <c r="C250" s="1259"/>
      <c r="D250" s="1259"/>
      <c r="E250" s="1259"/>
      <c r="F250" s="1260"/>
      <c r="G250" s="1265" t="str">
        <f>IF(基本情報入力シート!M113="","",基本情報入力シート!M113)</f>
        <v/>
      </c>
      <c r="H250" s="1265" t="str">
        <f>IF(基本情報入力シート!R113="","",基本情報入力シート!R113)</f>
        <v/>
      </c>
      <c r="I250" s="1265" t="str">
        <f>IF(基本情報入力シート!W113="","",基本情報入力シート!W113)</f>
        <v/>
      </c>
      <c r="J250" s="1379" t="str">
        <f>IF(基本情報入力シート!X113="","",基本情報入力シート!X113)</f>
        <v/>
      </c>
      <c r="K250" s="1265" t="str">
        <f>IF(基本情報入力シート!Y113="","",基本情報入力シート!Y113)</f>
        <v/>
      </c>
      <c r="L250" s="1246" t="str">
        <f>IF(基本情報入力シート!AB113="","",基本情報入力シート!AB113)</f>
        <v/>
      </c>
      <c r="M250" s="1249" t="str">
        <f>IF(基本情報入力シート!AC113="","",基本情報入力シート!AC113)</f>
        <v/>
      </c>
      <c r="N250" s="647" t="str">
        <f>IF('別紙様式2-2（４・５月分）'!Q191="","",'別紙様式2-2（４・５月分）'!Q191)</f>
        <v/>
      </c>
      <c r="O250" s="1366" t="str">
        <f>IF(SUM('別紙様式2-2（４・５月分）'!R191:R193)=0,"",SUM('別紙様式2-2（４・５月分）'!R191:R193))</f>
        <v/>
      </c>
      <c r="P250" s="1380" t="str">
        <f>IFERROR(VLOOKUP('別紙様式2-2（４・５月分）'!AR191,【参考】数式用!$AT$5:$AU$22,2,FALSE),"")</f>
        <v/>
      </c>
      <c r="Q250" s="1381"/>
      <c r="R250" s="1382"/>
      <c r="S250" s="1392" t="str">
        <f>IFERROR(VLOOKUP(K250,【参考】数式用!$A$5:$AB$27,MATCH(P250,【参考】数式用!$B$4:$AB$4,0)+1,0),"")</f>
        <v/>
      </c>
      <c r="T250" s="1413" t="s">
        <v>2173</v>
      </c>
      <c r="U250" s="1415"/>
      <c r="V250" s="1457" t="str">
        <f>IFERROR(VLOOKUP(K250,【参考】数式用!$A$5:$AB$27,MATCH(U250,【参考】数式用!$B$4:$AB$4,0)+1,0),"")</f>
        <v/>
      </c>
      <c r="W250" s="1350" t="s">
        <v>19</v>
      </c>
      <c r="X250" s="1352">
        <v>6</v>
      </c>
      <c r="Y250" s="1354" t="s">
        <v>10</v>
      </c>
      <c r="Z250" s="1352">
        <v>6</v>
      </c>
      <c r="AA250" s="1354" t="s">
        <v>45</v>
      </c>
      <c r="AB250" s="1352">
        <v>7</v>
      </c>
      <c r="AC250" s="1354" t="s">
        <v>10</v>
      </c>
      <c r="AD250" s="1352">
        <v>3</v>
      </c>
      <c r="AE250" s="1354" t="s">
        <v>13</v>
      </c>
      <c r="AF250" s="1354" t="s">
        <v>24</v>
      </c>
      <c r="AG250" s="1354">
        <f>IF(X250&gt;=1,(AB250*12+AD250)-(X250*12+Z250)+1,"")</f>
        <v>10</v>
      </c>
      <c r="AH250" s="1360" t="s">
        <v>38</v>
      </c>
      <c r="AI250" s="1481" t="str">
        <f>IFERROR(ROUNDDOWN(ROUND(L250*V250,0)*M250,0)*AG250,"")</f>
        <v/>
      </c>
      <c r="AJ250" s="1483" t="str">
        <f>IFERROR(ROUNDDOWN(ROUND((L250*(V250-AX250)),0)*M250,0)*AG250,"")</f>
        <v/>
      </c>
      <c r="AK250" s="1485">
        <f>IFERROR(IF(OR(N250="",N251="",N253=""),0,ROUNDDOWN(ROUNDDOWN(ROUND(L250*VLOOKUP(K250,【参考】数式用!$A$5:$AB$27,MATCH("新加算Ⅳ",【参考】数式用!$B$4:$AB$4,0)+1,0),0)*M250,0)*AG250*0.5,0)),"")</f>
        <v>0</v>
      </c>
      <c r="AL250" s="1433"/>
      <c r="AM250" s="1487">
        <f>IFERROR(IF(OR(N253="ベア加算",N253=""),0, IF(OR(U250="新加算Ⅰ",U250="新加算Ⅱ",U250="新加算Ⅲ",U250="新加算Ⅳ"),ROUNDDOWN(ROUND(L250*VLOOKUP(K250,【参考】数式用!$A$5:$I$27,MATCH("ベア加算",【参考】数式用!$B$4:$I$4,0)+1,0),0)*M250,0)*AG250,0)),"")</f>
        <v>0</v>
      </c>
      <c r="AN250" s="1502"/>
      <c r="AO250" s="1364"/>
      <c r="AP250" s="1403"/>
      <c r="AQ250" s="1403"/>
      <c r="AR250" s="1489"/>
      <c r="AS250" s="1491"/>
      <c r="AT250" s="556" t="str">
        <f t="shared" si="201"/>
        <v/>
      </c>
      <c r="AU250" s="651"/>
      <c r="AV250" s="1493" t="str">
        <f>IF(K250&lt;&gt;"","V列に色付け","")</f>
        <v/>
      </c>
      <c r="AW250" s="652" t="str">
        <f>IF('別紙様式2-2（４・５月分）'!O191="","",'別紙様式2-2（４・５月分）'!O191)</f>
        <v/>
      </c>
      <c r="AX250" s="1507" t="str">
        <f>IF(SUM('別紙様式2-2（４・５月分）'!P191:P193)=0,"",SUM('別紙様式2-2（４・５月分）'!P191:P193))</f>
        <v/>
      </c>
      <c r="AY250" s="1506" t="str">
        <f>IFERROR(VLOOKUP(K250,【参考】数式用!$AJ$2:$AK$24,2,FALSE),"")</f>
        <v/>
      </c>
      <c r="AZ250" s="1321" t="s">
        <v>2098</v>
      </c>
      <c r="BA250" s="1321" t="s">
        <v>2099</v>
      </c>
      <c r="BB250" s="1321" t="s">
        <v>2100</v>
      </c>
      <c r="BC250" s="1321" t="s">
        <v>2101</v>
      </c>
      <c r="BD250" s="1321" t="str">
        <f>IF(AND(P250&lt;&gt;"新加算Ⅰ",P250&lt;&gt;"新加算Ⅱ",P250&lt;&gt;"新加算Ⅲ",P250&lt;&gt;"新加算Ⅳ"),P250,IF(Q252&lt;&gt;"",Q252,""))</f>
        <v/>
      </c>
      <c r="BE250" s="1321"/>
      <c r="BF250" s="1321" t="str">
        <f t="shared" ref="BF250" si="244">IF(AM250&lt;&gt;0,IF(AN250="○","入力済","未入力"),"")</f>
        <v/>
      </c>
      <c r="BG250" s="1321"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321" t="str">
        <f>IF(OR(U250="新加算Ⅴ（７）",U250="新加算Ⅴ（９）",U250="新加算Ⅴ（10）",U250="新加算Ⅴ（12）",U250="新加算Ⅴ（13）",U250="新加算Ⅴ（14）"),IF(OR(AP250="○",AP250="令和６年度中に満たす"),"入力済","未入力"),"")</f>
        <v/>
      </c>
      <c r="BI250" s="1321" t="str">
        <f>IF(OR(U250="新加算Ⅰ",U250="新加算Ⅱ",U250="新加算Ⅲ",U250="新加算Ⅴ（１）",U250="新加算Ⅴ（３）",U250="新加算Ⅴ（８）"),IF(OR(AQ250="○",AQ250="令和６年度中に満たす"),"入力済","未入力"),"")</f>
        <v/>
      </c>
      <c r="BJ250" s="1512"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493" t="str">
        <f>IF(OR(U250="新加算Ⅰ",U250="新加算Ⅴ（１）",U250="新加算Ⅴ（２）",U250="新加算Ⅴ（５）",U250="新加算Ⅴ（７）",U250="新加算Ⅴ（10）"),IF(AS250="","未入力","入力済"),"")</f>
        <v/>
      </c>
      <c r="BL250" s="543" t="str">
        <f>G250</f>
        <v/>
      </c>
    </row>
    <row r="251" spans="1:64" ht="15" customHeight="1">
      <c r="A251" s="1226"/>
      <c r="B251" s="1272"/>
      <c r="C251" s="1261"/>
      <c r="D251" s="1261"/>
      <c r="E251" s="1261"/>
      <c r="F251" s="1262"/>
      <c r="G251" s="1266"/>
      <c r="H251" s="1266"/>
      <c r="I251" s="1266"/>
      <c r="J251" s="1372"/>
      <c r="K251" s="1266"/>
      <c r="L251" s="1247"/>
      <c r="M251" s="1250"/>
      <c r="N251" s="1370" t="str">
        <f>IF('別紙様式2-2（４・５月分）'!Q192="","",'別紙様式2-2（４・５月分）'!Q192)</f>
        <v/>
      </c>
      <c r="O251" s="1367"/>
      <c r="P251" s="1383"/>
      <c r="Q251" s="1384"/>
      <c r="R251" s="1385"/>
      <c r="S251" s="1393"/>
      <c r="T251" s="1414"/>
      <c r="U251" s="1416"/>
      <c r="V251" s="1458"/>
      <c r="W251" s="1351"/>
      <c r="X251" s="1353"/>
      <c r="Y251" s="1355"/>
      <c r="Z251" s="1353"/>
      <c r="AA251" s="1355"/>
      <c r="AB251" s="1353"/>
      <c r="AC251" s="1355"/>
      <c r="AD251" s="1353"/>
      <c r="AE251" s="1355"/>
      <c r="AF251" s="1355"/>
      <c r="AG251" s="1355"/>
      <c r="AH251" s="1361"/>
      <c r="AI251" s="1482"/>
      <c r="AJ251" s="1484"/>
      <c r="AK251" s="1486"/>
      <c r="AL251" s="1434"/>
      <c r="AM251" s="1488"/>
      <c r="AN251" s="1503"/>
      <c r="AO251" s="1365"/>
      <c r="AP251" s="1404"/>
      <c r="AQ251" s="1404"/>
      <c r="AR251" s="1490"/>
      <c r="AS251" s="1492"/>
      <c r="AT251" s="1331" t="str">
        <f t="shared" si="203"/>
        <v/>
      </c>
      <c r="AU251" s="651"/>
      <c r="AV251" s="1493"/>
      <c r="AW251" s="1518" t="str">
        <f>IF('別紙様式2-2（４・５月分）'!O192="","",'別紙様式2-2（４・５月分）'!O192)</f>
        <v/>
      </c>
      <c r="AX251" s="1507"/>
      <c r="AY251" s="1506"/>
      <c r="AZ251" s="1321"/>
      <c r="BA251" s="1321"/>
      <c r="BB251" s="1321"/>
      <c r="BC251" s="1321"/>
      <c r="BD251" s="1321"/>
      <c r="BE251" s="1321"/>
      <c r="BF251" s="1321"/>
      <c r="BG251" s="1321"/>
      <c r="BH251" s="1321"/>
      <c r="BI251" s="1321"/>
      <c r="BJ251" s="1512"/>
      <c r="BK251" s="1493"/>
      <c r="BL251" s="543" t="str">
        <f>G250</f>
        <v/>
      </c>
    </row>
    <row r="252" spans="1:64" ht="15" customHeight="1">
      <c r="A252" s="1240"/>
      <c r="B252" s="1272"/>
      <c r="C252" s="1261"/>
      <c r="D252" s="1261"/>
      <c r="E252" s="1261"/>
      <c r="F252" s="1262"/>
      <c r="G252" s="1266"/>
      <c r="H252" s="1266"/>
      <c r="I252" s="1266"/>
      <c r="J252" s="1372"/>
      <c r="K252" s="1266"/>
      <c r="L252" s="1247"/>
      <c r="M252" s="1250"/>
      <c r="N252" s="1371"/>
      <c r="O252" s="1368"/>
      <c r="P252" s="1390" t="s">
        <v>2179</v>
      </c>
      <c r="Q252" s="1386" t="str">
        <f>IFERROR(VLOOKUP('別紙様式2-2（４・５月分）'!AR191,【参考】数式用!$AT$5:$AV$22,3,FALSE),"")</f>
        <v/>
      </c>
      <c r="R252" s="1388" t="s">
        <v>2190</v>
      </c>
      <c r="S252" s="1396" t="str">
        <f>IFERROR(VLOOKUP(K250,【参考】数式用!$A$5:$AB$27,MATCH(Q252,【参考】数式用!$B$4:$AB$4,0)+1,0),"")</f>
        <v/>
      </c>
      <c r="T252" s="1459" t="s">
        <v>217</v>
      </c>
      <c r="U252" s="1461"/>
      <c r="V252" s="1463" t="str">
        <f>IFERROR(VLOOKUP(K250,【参考】数式用!$A$5:$AB$27,MATCH(U252,【参考】数式用!$B$4:$AB$4,0)+1,0),"")</f>
        <v/>
      </c>
      <c r="W252" s="1465" t="s">
        <v>19</v>
      </c>
      <c r="X252" s="1508">
        <v>7</v>
      </c>
      <c r="Y252" s="1407" t="s">
        <v>10</v>
      </c>
      <c r="Z252" s="1508">
        <v>4</v>
      </c>
      <c r="AA252" s="1407" t="s">
        <v>45</v>
      </c>
      <c r="AB252" s="1508">
        <v>8</v>
      </c>
      <c r="AC252" s="1407" t="s">
        <v>10</v>
      </c>
      <c r="AD252" s="1508">
        <v>3</v>
      </c>
      <c r="AE252" s="1407" t="s">
        <v>13</v>
      </c>
      <c r="AF252" s="1407" t="s">
        <v>24</v>
      </c>
      <c r="AG252" s="1407">
        <f>IF(X252&gt;=1,(AB252*12+AD252)-(X252*12+Z252)+1,"")</f>
        <v>12</v>
      </c>
      <c r="AH252" s="1409" t="s">
        <v>38</v>
      </c>
      <c r="AI252" s="1496" t="str">
        <f>IFERROR(ROUNDDOWN(ROUND(L250*V252,0)*M250,0)*AG252,"")</f>
        <v/>
      </c>
      <c r="AJ252" s="1510" t="str">
        <f>IFERROR(ROUNDDOWN(ROUND((L250*(V252-AX250)),0)*M250,0)*AG252,"")</f>
        <v/>
      </c>
      <c r="AK252" s="1494">
        <f>IFERROR(IF(OR(N250="",N251="",N253=""),0,ROUNDDOWN(ROUNDDOWN(ROUND(L250*VLOOKUP(K250,【参考】数式用!$A$5:$AB$27,MATCH("新加算Ⅳ",【参考】数式用!$B$4:$AB$4,0)+1,0),0)*M250,0)*AG252*0.5,0)),"")</f>
        <v>0</v>
      </c>
      <c r="AL252" s="1435" t="str">
        <f t="shared" ref="AL252" si="245">IF(U252&lt;&gt;"","新規に適用","")</f>
        <v/>
      </c>
      <c r="AM252" s="1498">
        <f>IFERROR(IF(OR(N253="ベア加算",N253=""),0, IF(OR(U250="新加算Ⅰ",U250="新加算Ⅱ",U250="新加算Ⅲ",U250="新加算Ⅳ"),0,ROUNDDOWN(ROUND(L250*VLOOKUP(K250,【参考】数式用!$A$5:$I$27,MATCH("ベア加算",【参考】数式用!$B$4:$I$4,0)+1,0),0)*M250,0)*AG252)),"")</f>
        <v>0</v>
      </c>
      <c r="AN252" s="1356" t="str">
        <f t="shared" ref="AN252" si="246">IF(AM252=0,"",IF(AND(U252&lt;&gt;"",AN250=""),"新規に適用",IF(AND(U252&lt;&gt;"",AN250&lt;&gt;""),"継続で適用","")))</f>
        <v/>
      </c>
      <c r="AO252" s="1356" t="str">
        <f>IF(AND(U252&lt;&gt;"",AO250=""),"新規に適用",IF(AND(U252&lt;&gt;"",AO250&lt;&gt;""),"継続で適用",""))</f>
        <v/>
      </c>
      <c r="AP252" s="1358"/>
      <c r="AQ252" s="1356" t="str">
        <f>IF(AND(U252&lt;&gt;"",AQ250=""),"新規に適用",IF(AND(U252&lt;&gt;"",AQ250&lt;&gt;""),"継続で適用",""))</f>
        <v/>
      </c>
      <c r="AR252" s="1344" t="str">
        <f t="shared" si="226"/>
        <v/>
      </c>
      <c r="AS252" s="1356" t="str">
        <f>IF(AND(U252&lt;&gt;"",AS250=""),"新規に適用",IF(AND(U252&lt;&gt;"",AS250&lt;&gt;""),"継続で適用",""))</f>
        <v/>
      </c>
      <c r="AT252" s="1331"/>
      <c r="AU252" s="651"/>
      <c r="AV252" s="1493" t="str">
        <f>IF(K250&lt;&gt;"","V列に色付け","")</f>
        <v/>
      </c>
      <c r="AW252" s="1518"/>
      <c r="AX252" s="1507"/>
      <c r="AY252" s="163"/>
      <c r="AZ252" s="163"/>
      <c r="BA252" s="163"/>
      <c r="BB252" s="163"/>
      <c r="BC252" s="163"/>
      <c r="BD252" s="163"/>
      <c r="BE252" s="163"/>
      <c r="BF252" s="163"/>
      <c r="BG252" s="163"/>
      <c r="BH252" s="163"/>
      <c r="BI252" s="163"/>
      <c r="BJ252" s="163"/>
      <c r="BK252" s="163"/>
      <c r="BL252" s="543" t="str">
        <f>G250</f>
        <v/>
      </c>
    </row>
    <row r="253" spans="1:64" ht="30" customHeight="1" thickBot="1">
      <c r="A253" s="1227"/>
      <c r="B253" s="1376"/>
      <c r="C253" s="1377"/>
      <c r="D253" s="1377"/>
      <c r="E253" s="1377"/>
      <c r="F253" s="1378"/>
      <c r="G253" s="1267"/>
      <c r="H253" s="1267"/>
      <c r="I253" s="1267"/>
      <c r="J253" s="1373"/>
      <c r="K253" s="1267"/>
      <c r="L253" s="1248"/>
      <c r="M253" s="1251"/>
      <c r="N253" s="650" t="str">
        <f>IF('別紙様式2-2（４・５月分）'!Q193="","",'別紙様式2-2（４・５月分）'!Q193)</f>
        <v/>
      </c>
      <c r="O253" s="1369"/>
      <c r="P253" s="1391"/>
      <c r="Q253" s="1387"/>
      <c r="R253" s="1389"/>
      <c r="S253" s="1395"/>
      <c r="T253" s="1460"/>
      <c r="U253" s="1462"/>
      <c r="V253" s="1464"/>
      <c r="W253" s="1466"/>
      <c r="X253" s="1509"/>
      <c r="Y253" s="1408"/>
      <c r="Z253" s="1509"/>
      <c r="AA253" s="1408"/>
      <c r="AB253" s="1509"/>
      <c r="AC253" s="1408"/>
      <c r="AD253" s="1509"/>
      <c r="AE253" s="1408"/>
      <c r="AF253" s="1408"/>
      <c r="AG253" s="1408"/>
      <c r="AH253" s="1410"/>
      <c r="AI253" s="1497"/>
      <c r="AJ253" s="1511"/>
      <c r="AK253" s="1495"/>
      <c r="AL253" s="1436"/>
      <c r="AM253" s="1499"/>
      <c r="AN253" s="1357"/>
      <c r="AO253" s="1357"/>
      <c r="AP253" s="1359"/>
      <c r="AQ253" s="1357"/>
      <c r="AR253" s="1345"/>
      <c r="AS253" s="1357"/>
      <c r="AT253" s="581" t="str">
        <f t="shared" ref="AT253" si="247">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51"/>
      <c r="AV253" s="1493"/>
      <c r="AW253" s="652" t="str">
        <f>IF('別紙様式2-2（４・５月分）'!O193="","",'別紙様式2-2（４・５月分）'!O193)</f>
        <v/>
      </c>
      <c r="AX253" s="1507"/>
      <c r="AY253" s="163"/>
      <c r="AZ253" s="163"/>
      <c r="BA253" s="163"/>
      <c r="BB253" s="163"/>
      <c r="BC253" s="163"/>
      <c r="BD253" s="163"/>
      <c r="BE253" s="163"/>
      <c r="BF253" s="163"/>
      <c r="BG253" s="163"/>
      <c r="BH253" s="163"/>
      <c r="BI253" s="163"/>
      <c r="BJ253" s="163"/>
      <c r="BK253" s="163"/>
      <c r="BL253" s="543" t="str">
        <f>G250</f>
        <v/>
      </c>
    </row>
    <row r="254" spans="1:64" ht="30" customHeight="1">
      <c r="A254" s="1225">
        <v>61</v>
      </c>
      <c r="B254" s="1272" t="str">
        <f>IF(基本情報入力シート!C114="","",基本情報入力シート!C114)</f>
        <v/>
      </c>
      <c r="C254" s="1261"/>
      <c r="D254" s="1261"/>
      <c r="E254" s="1261"/>
      <c r="F254" s="1262"/>
      <c r="G254" s="1266" t="str">
        <f>IF(基本情報入力シート!M114="","",基本情報入力シート!M114)</f>
        <v/>
      </c>
      <c r="H254" s="1266" t="str">
        <f>IF(基本情報入力シート!R114="","",基本情報入力シート!R114)</f>
        <v/>
      </c>
      <c r="I254" s="1266" t="str">
        <f>IF(基本情報入力シート!W114="","",基本情報入力シート!W114)</f>
        <v/>
      </c>
      <c r="J254" s="1372" t="str">
        <f>IF(基本情報入力シート!X114="","",基本情報入力シート!X114)</f>
        <v/>
      </c>
      <c r="K254" s="1266" t="str">
        <f>IF(基本情報入力シート!Y114="","",基本情報入力シート!Y114)</f>
        <v/>
      </c>
      <c r="L254" s="1247" t="str">
        <f>IF(基本情報入力シート!AB114="","",基本情報入力シート!AB114)</f>
        <v/>
      </c>
      <c r="M254" s="1374" t="str">
        <f>IF(基本情報入力シート!AC114="","",基本情報入力シート!AC114)</f>
        <v/>
      </c>
      <c r="N254" s="647" t="str">
        <f>IF('別紙様式2-2（４・５月分）'!Q194="","",'別紙様式2-2（４・５月分）'!Q194)</f>
        <v/>
      </c>
      <c r="O254" s="1366" t="str">
        <f>IF(SUM('別紙様式2-2（４・５月分）'!R194:R196)=0,"",SUM('別紙様式2-2（４・５月分）'!R194:R196))</f>
        <v/>
      </c>
      <c r="P254" s="1380" t="str">
        <f>IFERROR(VLOOKUP('別紙様式2-2（４・５月分）'!AR194,【参考】数式用!$AT$5:$AU$22,2,FALSE),"")</f>
        <v/>
      </c>
      <c r="Q254" s="1381"/>
      <c r="R254" s="1382"/>
      <c r="S254" s="1392" t="str">
        <f>IFERROR(VLOOKUP(K254,【参考】数式用!$A$5:$AB$27,MATCH(P254,【参考】数式用!$B$4:$AB$4,0)+1,0),"")</f>
        <v/>
      </c>
      <c r="T254" s="1413" t="s">
        <v>2173</v>
      </c>
      <c r="U254" s="1415"/>
      <c r="V254" s="1457" t="str">
        <f>IFERROR(VLOOKUP(K254,【参考】数式用!$A$5:$AB$27,MATCH(U254,【参考】数式用!$B$4:$AB$4,0)+1,0),"")</f>
        <v/>
      </c>
      <c r="W254" s="1350" t="s">
        <v>19</v>
      </c>
      <c r="X254" s="1352">
        <v>6</v>
      </c>
      <c r="Y254" s="1354" t="s">
        <v>10</v>
      </c>
      <c r="Z254" s="1352">
        <v>6</v>
      </c>
      <c r="AA254" s="1354" t="s">
        <v>45</v>
      </c>
      <c r="AB254" s="1352">
        <v>7</v>
      </c>
      <c r="AC254" s="1354" t="s">
        <v>10</v>
      </c>
      <c r="AD254" s="1352">
        <v>3</v>
      </c>
      <c r="AE254" s="1354" t="s">
        <v>13</v>
      </c>
      <c r="AF254" s="1354" t="s">
        <v>24</v>
      </c>
      <c r="AG254" s="1354">
        <f>IF(X254&gt;=1,(AB254*12+AD254)-(X254*12+Z254)+1,"")</f>
        <v>10</v>
      </c>
      <c r="AH254" s="1360" t="s">
        <v>38</v>
      </c>
      <c r="AI254" s="1481" t="str">
        <f>IFERROR(ROUNDDOWN(ROUND(L254*V254,0)*M254,0)*AG254,"")</f>
        <v/>
      </c>
      <c r="AJ254" s="1483" t="str">
        <f>IFERROR(ROUNDDOWN(ROUND((L254*(V254-AX254)),0)*M254,0)*AG254,"")</f>
        <v/>
      </c>
      <c r="AK254" s="1485">
        <f>IFERROR(IF(OR(N254="",N255="",N257=""),0,ROUNDDOWN(ROUNDDOWN(ROUND(L254*VLOOKUP(K254,【参考】数式用!$A$5:$AB$27,MATCH("新加算Ⅳ",【参考】数式用!$B$4:$AB$4,0)+1,0),0)*M254,0)*AG254*0.5,0)),"")</f>
        <v>0</v>
      </c>
      <c r="AL254" s="1433"/>
      <c r="AM254" s="1487">
        <f>IFERROR(IF(OR(N257="ベア加算",N257=""),0, IF(OR(U254="新加算Ⅰ",U254="新加算Ⅱ",U254="新加算Ⅲ",U254="新加算Ⅳ"),ROUNDDOWN(ROUND(L254*VLOOKUP(K254,【参考】数式用!$A$5:$I$27,MATCH("ベア加算",【参考】数式用!$B$4:$I$4,0)+1,0),0)*M254,0)*AG254,0)),"")</f>
        <v>0</v>
      </c>
      <c r="AN254" s="1502"/>
      <c r="AO254" s="1364"/>
      <c r="AP254" s="1403"/>
      <c r="AQ254" s="1403"/>
      <c r="AR254" s="1489"/>
      <c r="AS254" s="1491"/>
      <c r="AT254" s="556" t="str">
        <f t="shared" si="201"/>
        <v/>
      </c>
      <c r="AU254" s="651"/>
      <c r="AV254" s="1493" t="str">
        <f>IF(K254&lt;&gt;"","V列に色付け","")</f>
        <v/>
      </c>
      <c r="AW254" s="652" t="str">
        <f>IF('別紙様式2-2（４・５月分）'!O194="","",'別紙様式2-2（４・５月分）'!O194)</f>
        <v/>
      </c>
      <c r="AX254" s="1507" t="str">
        <f>IF(SUM('別紙様式2-2（４・５月分）'!P194:P196)=0,"",SUM('別紙様式2-2（４・５月分）'!P194:P196))</f>
        <v/>
      </c>
      <c r="AY254" s="1506" t="str">
        <f>IFERROR(VLOOKUP(K254,【参考】数式用!$AJ$2:$AK$24,2,FALSE),"")</f>
        <v/>
      </c>
      <c r="AZ254" s="1321" t="s">
        <v>2098</v>
      </c>
      <c r="BA254" s="1321" t="s">
        <v>2099</v>
      </c>
      <c r="BB254" s="1321" t="s">
        <v>2100</v>
      </c>
      <c r="BC254" s="1321" t="s">
        <v>2101</v>
      </c>
      <c r="BD254" s="1321" t="str">
        <f>IF(AND(P254&lt;&gt;"新加算Ⅰ",P254&lt;&gt;"新加算Ⅱ",P254&lt;&gt;"新加算Ⅲ",P254&lt;&gt;"新加算Ⅳ"),P254,IF(Q256&lt;&gt;"",Q256,""))</f>
        <v/>
      </c>
      <c r="BE254" s="1321"/>
      <c r="BF254" s="1321" t="str">
        <f t="shared" ref="BF254" si="248">IF(AM254&lt;&gt;0,IF(AN254="○","入力済","未入力"),"")</f>
        <v/>
      </c>
      <c r="BG254" s="1321"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321" t="str">
        <f>IF(OR(U254="新加算Ⅴ（７）",U254="新加算Ⅴ（９）",U254="新加算Ⅴ（10）",U254="新加算Ⅴ（12）",U254="新加算Ⅴ（13）",U254="新加算Ⅴ（14）"),IF(OR(AP254="○",AP254="令和６年度中に満たす"),"入力済","未入力"),"")</f>
        <v/>
      </c>
      <c r="BI254" s="1321" t="str">
        <f>IF(OR(U254="新加算Ⅰ",U254="新加算Ⅱ",U254="新加算Ⅲ",U254="新加算Ⅴ（１）",U254="新加算Ⅴ（３）",U254="新加算Ⅴ（８）"),IF(OR(AQ254="○",AQ254="令和６年度中に満たす"),"入力済","未入力"),"")</f>
        <v/>
      </c>
      <c r="BJ254" s="1512"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493" t="str">
        <f>IF(OR(U254="新加算Ⅰ",U254="新加算Ⅴ（１）",U254="新加算Ⅴ（２）",U254="新加算Ⅴ（５）",U254="新加算Ⅴ（７）",U254="新加算Ⅴ（10）"),IF(AS254="","未入力","入力済"),"")</f>
        <v/>
      </c>
      <c r="BL254" s="543" t="str">
        <f>G254</f>
        <v/>
      </c>
    </row>
    <row r="255" spans="1:64" ht="15" customHeight="1">
      <c r="A255" s="1226"/>
      <c r="B255" s="1272"/>
      <c r="C255" s="1261"/>
      <c r="D255" s="1261"/>
      <c r="E255" s="1261"/>
      <c r="F255" s="1262"/>
      <c r="G255" s="1266"/>
      <c r="H255" s="1266"/>
      <c r="I255" s="1266"/>
      <c r="J255" s="1372"/>
      <c r="K255" s="1266"/>
      <c r="L255" s="1247"/>
      <c r="M255" s="1374"/>
      <c r="N255" s="1370" t="str">
        <f>IF('別紙様式2-2（４・５月分）'!Q195="","",'別紙様式2-2（４・５月分）'!Q195)</f>
        <v/>
      </c>
      <c r="O255" s="1367"/>
      <c r="P255" s="1383"/>
      <c r="Q255" s="1384"/>
      <c r="R255" s="1385"/>
      <c r="S255" s="1393"/>
      <c r="T255" s="1414"/>
      <c r="U255" s="1416"/>
      <c r="V255" s="1458"/>
      <c r="W255" s="1351"/>
      <c r="X255" s="1353"/>
      <c r="Y255" s="1355"/>
      <c r="Z255" s="1353"/>
      <c r="AA255" s="1355"/>
      <c r="AB255" s="1353"/>
      <c r="AC255" s="1355"/>
      <c r="AD255" s="1353"/>
      <c r="AE255" s="1355"/>
      <c r="AF255" s="1355"/>
      <c r="AG255" s="1355"/>
      <c r="AH255" s="1361"/>
      <c r="AI255" s="1482"/>
      <c r="AJ255" s="1484"/>
      <c r="AK255" s="1486"/>
      <c r="AL255" s="1434"/>
      <c r="AM255" s="1488"/>
      <c r="AN255" s="1503"/>
      <c r="AO255" s="1365"/>
      <c r="AP255" s="1404"/>
      <c r="AQ255" s="1404"/>
      <c r="AR255" s="1490"/>
      <c r="AS255" s="1492"/>
      <c r="AT255" s="1331" t="str">
        <f t="shared" si="203"/>
        <v/>
      </c>
      <c r="AU255" s="651"/>
      <c r="AV255" s="1493"/>
      <c r="AW255" s="1518" t="str">
        <f>IF('別紙様式2-2（４・５月分）'!O195="","",'別紙様式2-2（４・５月分）'!O195)</f>
        <v/>
      </c>
      <c r="AX255" s="1507"/>
      <c r="AY255" s="1506"/>
      <c r="AZ255" s="1321"/>
      <c r="BA255" s="1321"/>
      <c r="BB255" s="1321"/>
      <c r="BC255" s="1321"/>
      <c r="BD255" s="1321"/>
      <c r="BE255" s="1321"/>
      <c r="BF255" s="1321"/>
      <c r="BG255" s="1321"/>
      <c r="BH255" s="1321"/>
      <c r="BI255" s="1321"/>
      <c r="BJ255" s="1512"/>
      <c r="BK255" s="1493"/>
      <c r="BL255" s="543" t="str">
        <f>G254</f>
        <v/>
      </c>
    </row>
    <row r="256" spans="1:64" ht="15" customHeight="1">
      <c r="A256" s="1240"/>
      <c r="B256" s="1272"/>
      <c r="C256" s="1261"/>
      <c r="D256" s="1261"/>
      <c r="E256" s="1261"/>
      <c r="F256" s="1262"/>
      <c r="G256" s="1266"/>
      <c r="H256" s="1266"/>
      <c r="I256" s="1266"/>
      <c r="J256" s="1372"/>
      <c r="K256" s="1266"/>
      <c r="L256" s="1247"/>
      <c r="M256" s="1374"/>
      <c r="N256" s="1371"/>
      <c r="O256" s="1368"/>
      <c r="P256" s="1390" t="s">
        <v>2179</v>
      </c>
      <c r="Q256" s="1386" t="str">
        <f>IFERROR(VLOOKUP('別紙様式2-2（４・５月分）'!AR194,【参考】数式用!$AT$5:$AV$22,3,FALSE),"")</f>
        <v/>
      </c>
      <c r="R256" s="1388" t="s">
        <v>2190</v>
      </c>
      <c r="S256" s="1394" t="str">
        <f>IFERROR(VLOOKUP(K254,【参考】数式用!$A$5:$AB$27,MATCH(Q256,【参考】数式用!$B$4:$AB$4,0)+1,0),"")</f>
        <v/>
      </c>
      <c r="T256" s="1459" t="s">
        <v>217</v>
      </c>
      <c r="U256" s="1461"/>
      <c r="V256" s="1463" t="str">
        <f>IFERROR(VLOOKUP(K254,【参考】数式用!$A$5:$AB$27,MATCH(U256,【参考】数式用!$B$4:$AB$4,0)+1,0),"")</f>
        <v/>
      </c>
      <c r="W256" s="1465" t="s">
        <v>19</v>
      </c>
      <c r="X256" s="1508">
        <v>7</v>
      </c>
      <c r="Y256" s="1407" t="s">
        <v>10</v>
      </c>
      <c r="Z256" s="1508">
        <v>4</v>
      </c>
      <c r="AA256" s="1407" t="s">
        <v>45</v>
      </c>
      <c r="AB256" s="1508">
        <v>8</v>
      </c>
      <c r="AC256" s="1407" t="s">
        <v>10</v>
      </c>
      <c r="AD256" s="1508">
        <v>3</v>
      </c>
      <c r="AE256" s="1407" t="s">
        <v>13</v>
      </c>
      <c r="AF256" s="1407" t="s">
        <v>24</v>
      </c>
      <c r="AG256" s="1407">
        <f>IF(X256&gt;=1,(AB256*12+AD256)-(X256*12+Z256)+1,"")</f>
        <v>12</v>
      </c>
      <c r="AH256" s="1409" t="s">
        <v>38</v>
      </c>
      <c r="AI256" s="1496" t="str">
        <f>IFERROR(ROUNDDOWN(ROUND(L254*V256,0)*M254,0)*AG256,"")</f>
        <v/>
      </c>
      <c r="AJ256" s="1510" t="str">
        <f>IFERROR(ROUNDDOWN(ROUND((L254*(V256-AX254)),0)*M254,0)*AG256,"")</f>
        <v/>
      </c>
      <c r="AK256" s="1494">
        <f>IFERROR(IF(OR(N254="",N255="",N257=""),0,ROUNDDOWN(ROUNDDOWN(ROUND(L254*VLOOKUP(K254,【参考】数式用!$A$5:$AB$27,MATCH("新加算Ⅳ",【参考】数式用!$B$4:$AB$4,0)+1,0),0)*M254,0)*AG256*0.5,0)),"")</f>
        <v>0</v>
      </c>
      <c r="AL256" s="1435" t="str">
        <f t="shared" ref="AL256" si="249">IF(U256&lt;&gt;"","新規に適用","")</f>
        <v/>
      </c>
      <c r="AM256" s="1498">
        <f>IFERROR(IF(OR(N257="ベア加算",N257=""),0, IF(OR(U254="新加算Ⅰ",U254="新加算Ⅱ",U254="新加算Ⅲ",U254="新加算Ⅳ"),0,ROUNDDOWN(ROUND(L254*VLOOKUP(K254,【参考】数式用!$A$5:$I$27,MATCH("ベア加算",【参考】数式用!$B$4:$I$4,0)+1,0),0)*M254,0)*AG256)),"")</f>
        <v>0</v>
      </c>
      <c r="AN256" s="1356" t="str">
        <f t="shared" ref="AN256" si="250">IF(AM256=0,"",IF(AND(U256&lt;&gt;"",AN254=""),"新規に適用",IF(AND(U256&lt;&gt;"",AN254&lt;&gt;""),"継続で適用","")))</f>
        <v/>
      </c>
      <c r="AO256" s="1356" t="str">
        <f>IF(AND(U256&lt;&gt;"",AO254=""),"新規に適用",IF(AND(U256&lt;&gt;"",AO254&lt;&gt;""),"継続で適用",""))</f>
        <v/>
      </c>
      <c r="AP256" s="1358"/>
      <c r="AQ256" s="1356" t="str">
        <f>IF(AND(U256&lt;&gt;"",AQ254=""),"新規に適用",IF(AND(U256&lt;&gt;"",AQ254&lt;&gt;""),"継続で適用",""))</f>
        <v/>
      </c>
      <c r="AR256" s="1344" t="str">
        <f t="shared" si="226"/>
        <v/>
      </c>
      <c r="AS256" s="1356" t="str">
        <f>IF(AND(U256&lt;&gt;"",AS254=""),"新規に適用",IF(AND(U256&lt;&gt;"",AS254&lt;&gt;""),"継続で適用",""))</f>
        <v/>
      </c>
      <c r="AT256" s="1331"/>
      <c r="AU256" s="651"/>
      <c r="AV256" s="1493" t="str">
        <f>IF(K254&lt;&gt;"","V列に色付け","")</f>
        <v/>
      </c>
      <c r="AW256" s="1518"/>
      <c r="AX256" s="1507"/>
      <c r="AY256" s="163"/>
      <c r="AZ256" s="163"/>
      <c r="BA256" s="163"/>
      <c r="BB256" s="163"/>
      <c r="BC256" s="163"/>
      <c r="BD256" s="163"/>
      <c r="BE256" s="163"/>
      <c r="BF256" s="163"/>
      <c r="BG256" s="163"/>
      <c r="BH256" s="163"/>
      <c r="BI256" s="163"/>
      <c r="BJ256" s="163"/>
      <c r="BK256" s="163"/>
      <c r="BL256" s="543" t="str">
        <f>G254</f>
        <v/>
      </c>
    </row>
    <row r="257" spans="1:64" ht="30" customHeight="1" thickBot="1">
      <c r="A257" s="1227"/>
      <c r="B257" s="1376"/>
      <c r="C257" s="1377"/>
      <c r="D257" s="1377"/>
      <c r="E257" s="1377"/>
      <c r="F257" s="1378"/>
      <c r="G257" s="1267"/>
      <c r="H257" s="1267"/>
      <c r="I257" s="1267"/>
      <c r="J257" s="1373"/>
      <c r="K257" s="1267"/>
      <c r="L257" s="1248"/>
      <c r="M257" s="1375"/>
      <c r="N257" s="650" t="str">
        <f>IF('別紙様式2-2（４・５月分）'!Q196="","",'別紙様式2-2（４・５月分）'!Q196)</f>
        <v/>
      </c>
      <c r="O257" s="1369"/>
      <c r="P257" s="1391"/>
      <c r="Q257" s="1387"/>
      <c r="R257" s="1389"/>
      <c r="S257" s="1395"/>
      <c r="T257" s="1460"/>
      <c r="U257" s="1462"/>
      <c r="V257" s="1464"/>
      <c r="W257" s="1466"/>
      <c r="X257" s="1509"/>
      <c r="Y257" s="1408"/>
      <c r="Z257" s="1509"/>
      <c r="AA257" s="1408"/>
      <c r="AB257" s="1509"/>
      <c r="AC257" s="1408"/>
      <c r="AD257" s="1509"/>
      <c r="AE257" s="1408"/>
      <c r="AF257" s="1408"/>
      <c r="AG257" s="1408"/>
      <c r="AH257" s="1410"/>
      <c r="AI257" s="1497"/>
      <c r="AJ257" s="1511"/>
      <c r="AK257" s="1495"/>
      <c r="AL257" s="1436"/>
      <c r="AM257" s="1499"/>
      <c r="AN257" s="1357"/>
      <c r="AO257" s="1357"/>
      <c r="AP257" s="1359"/>
      <c r="AQ257" s="1357"/>
      <c r="AR257" s="1345"/>
      <c r="AS257" s="1357"/>
      <c r="AT257" s="581" t="str">
        <f t="shared" ref="AT257" si="251">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51"/>
      <c r="AV257" s="1493"/>
      <c r="AW257" s="652" t="str">
        <f>IF('別紙様式2-2（４・５月分）'!O196="","",'別紙様式2-2（４・５月分）'!O196)</f>
        <v/>
      </c>
      <c r="AX257" s="1507"/>
      <c r="AY257" s="163"/>
      <c r="AZ257" s="163"/>
      <c r="BA257" s="163"/>
      <c r="BB257" s="163"/>
      <c r="BC257" s="163"/>
      <c r="BD257" s="163"/>
      <c r="BE257" s="163"/>
      <c r="BF257" s="163"/>
      <c r="BG257" s="163"/>
      <c r="BH257" s="163"/>
      <c r="BI257" s="163"/>
      <c r="BJ257" s="163"/>
      <c r="BK257" s="163"/>
      <c r="BL257" s="543" t="str">
        <f>G254</f>
        <v/>
      </c>
    </row>
    <row r="258" spans="1:64" ht="30" customHeight="1">
      <c r="A258" s="1241">
        <v>62</v>
      </c>
      <c r="B258" s="1271" t="str">
        <f>IF(基本情報入力シート!C115="","",基本情報入力シート!C115)</f>
        <v/>
      </c>
      <c r="C258" s="1259"/>
      <c r="D258" s="1259"/>
      <c r="E258" s="1259"/>
      <c r="F258" s="1260"/>
      <c r="G258" s="1265" t="str">
        <f>IF(基本情報入力シート!M115="","",基本情報入力シート!M115)</f>
        <v/>
      </c>
      <c r="H258" s="1265" t="str">
        <f>IF(基本情報入力シート!R115="","",基本情報入力シート!R115)</f>
        <v/>
      </c>
      <c r="I258" s="1265" t="str">
        <f>IF(基本情報入力シート!W115="","",基本情報入力シート!W115)</f>
        <v/>
      </c>
      <c r="J258" s="1379" t="str">
        <f>IF(基本情報入力シート!X115="","",基本情報入力シート!X115)</f>
        <v/>
      </c>
      <c r="K258" s="1265" t="str">
        <f>IF(基本情報入力シート!Y115="","",基本情報入力シート!Y115)</f>
        <v/>
      </c>
      <c r="L258" s="1246" t="str">
        <f>IF(基本情報入力シート!AB115="","",基本情報入力シート!AB115)</f>
        <v/>
      </c>
      <c r="M258" s="1249" t="str">
        <f>IF(基本情報入力シート!AC115="","",基本情報入力シート!AC115)</f>
        <v/>
      </c>
      <c r="N258" s="647" t="str">
        <f>IF('別紙様式2-2（４・５月分）'!Q197="","",'別紙様式2-2（４・５月分）'!Q197)</f>
        <v/>
      </c>
      <c r="O258" s="1366" t="str">
        <f>IF(SUM('別紙様式2-2（４・５月分）'!R197:R199)=0,"",SUM('別紙様式2-2（４・５月分）'!R197:R199))</f>
        <v/>
      </c>
      <c r="P258" s="1380" t="str">
        <f>IFERROR(VLOOKUP('別紙様式2-2（４・５月分）'!AR197,【参考】数式用!$AT$5:$AU$22,2,FALSE),"")</f>
        <v/>
      </c>
      <c r="Q258" s="1381"/>
      <c r="R258" s="1382"/>
      <c r="S258" s="1392" t="str">
        <f>IFERROR(VLOOKUP(K258,【参考】数式用!$A$5:$AB$27,MATCH(P258,【参考】数式用!$B$4:$AB$4,0)+1,0),"")</f>
        <v/>
      </c>
      <c r="T258" s="1413" t="s">
        <v>2173</v>
      </c>
      <c r="U258" s="1415"/>
      <c r="V258" s="1457" t="str">
        <f>IFERROR(VLOOKUP(K258,【参考】数式用!$A$5:$AB$27,MATCH(U258,【参考】数式用!$B$4:$AB$4,0)+1,0),"")</f>
        <v/>
      </c>
      <c r="W258" s="1350" t="s">
        <v>19</v>
      </c>
      <c r="X258" s="1352">
        <v>6</v>
      </c>
      <c r="Y258" s="1354" t="s">
        <v>10</v>
      </c>
      <c r="Z258" s="1352">
        <v>6</v>
      </c>
      <c r="AA258" s="1354" t="s">
        <v>45</v>
      </c>
      <c r="AB258" s="1352">
        <v>7</v>
      </c>
      <c r="AC258" s="1354" t="s">
        <v>10</v>
      </c>
      <c r="AD258" s="1352">
        <v>3</v>
      </c>
      <c r="AE258" s="1354" t="s">
        <v>13</v>
      </c>
      <c r="AF258" s="1354" t="s">
        <v>24</v>
      </c>
      <c r="AG258" s="1354">
        <f>IF(X258&gt;=1,(AB258*12+AD258)-(X258*12+Z258)+1,"")</f>
        <v>10</v>
      </c>
      <c r="AH258" s="1360" t="s">
        <v>38</v>
      </c>
      <c r="AI258" s="1481" t="str">
        <f>IFERROR(ROUNDDOWN(ROUND(L258*V258,0)*M258,0)*AG258,"")</f>
        <v/>
      </c>
      <c r="AJ258" s="1483" t="str">
        <f>IFERROR(ROUNDDOWN(ROUND((L258*(V258-AX258)),0)*M258,0)*AG258,"")</f>
        <v/>
      </c>
      <c r="AK258" s="1485">
        <f>IFERROR(IF(OR(N258="",N259="",N261=""),0,ROUNDDOWN(ROUNDDOWN(ROUND(L258*VLOOKUP(K258,【参考】数式用!$A$5:$AB$27,MATCH("新加算Ⅳ",【参考】数式用!$B$4:$AB$4,0)+1,0),0)*M258,0)*AG258*0.5,0)),"")</f>
        <v>0</v>
      </c>
      <c r="AL258" s="1433"/>
      <c r="AM258" s="1487">
        <f>IFERROR(IF(OR(N261="ベア加算",N261=""),0, IF(OR(U258="新加算Ⅰ",U258="新加算Ⅱ",U258="新加算Ⅲ",U258="新加算Ⅳ"),ROUNDDOWN(ROUND(L258*VLOOKUP(K258,【参考】数式用!$A$5:$I$27,MATCH("ベア加算",【参考】数式用!$B$4:$I$4,0)+1,0),0)*M258,0)*AG258,0)),"")</f>
        <v>0</v>
      </c>
      <c r="AN258" s="1502"/>
      <c r="AO258" s="1364"/>
      <c r="AP258" s="1403"/>
      <c r="AQ258" s="1403"/>
      <c r="AR258" s="1489"/>
      <c r="AS258" s="1491"/>
      <c r="AT258" s="556" t="str">
        <f t="shared" si="201"/>
        <v/>
      </c>
      <c r="AU258" s="651"/>
      <c r="AV258" s="1493" t="str">
        <f>IF(K258&lt;&gt;"","V列に色付け","")</f>
        <v/>
      </c>
      <c r="AW258" s="652" t="str">
        <f>IF('別紙様式2-2（４・５月分）'!O197="","",'別紙様式2-2（４・５月分）'!O197)</f>
        <v/>
      </c>
      <c r="AX258" s="1507" t="str">
        <f>IF(SUM('別紙様式2-2（４・５月分）'!P197:P199)=0,"",SUM('別紙様式2-2（４・５月分）'!P197:P199))</f>
        <v/>
      </c>
      <c r="AY258" s="1506" t="str">
        <f>IFERROR(VLOOKUP(K258,【参考】数式用!$AJ$2:$AK$24,2,FALSE),"")</f>
        <v/>
      </c>
      <c r="AZ258" s="1321" t="s">
        <v>2098</v>
      </c>
      <c r="BA258" s="1321" t="s">
        <v>2099</v>
      </c>
      <c r="BB258" s="1321" t="s">
        <v>2100</v>
      </c>
      <c r="BC258" s="1321" t="s">
        <v>2101</v>
      </c>
      <c r="BD258" s="1321" t="str">
        <f>IF(AND(P258&lt;&gt;"新加算Ⅰ",P258&lt;&gt;"新加算Ⅱ",P258&lt;&gt;"新加算Ⅲ",P258&lt;&gt;"新加算Ⅳ"),P258,IF(Q260&lt;&gt;"",Q260,""))</f>
        <v/>
      </c>
      <c r="BE258" s="1321"/>
      <c r="BF258" s="1321" t="str">
        <f t="shared" ref="BF258" si="252">IF(AM258&lt;&gt;0,IF(AN258="○","入力済","未入力"),"")</f>
        <v/>
      </c>
      <c r="BG258" s="1321"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321" t="str">
        <f>IF(OR(U258="新加算Ⅴ（７）",U258="新加算Ⅴ（９）",U258="新加算Ⅴ（10）",U258="新加算Ⅴ（12）",U258="新加算Ⅴ（13）",U258="新加算Ⅴ（14）"),IF(OR(AP258="○",AP258="令和６年度中に満たす"),"入力済","未入力"),"")</f>
        <v/>
      </c>
      <c r="BI258" s="1321" t="str">
        <f>IF(OR(U258="新加算Ⅰ",U258="新加算Ⅱ",U258="新加算Ⅲ",U258="新加算Ⅴ（１）",U258="新加算Ⅴ（３）",U258="新加算Ⅴ（８）"),IF(OR(AQ258="○",AQ258="令和６年度中に満たす"),"入力済","未入力"),"")</f>
        <v/>
      </c>
      <c r="BJ258" s="1512"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493" t="str">
        <f>IF(OR(U258="新加算Ⅰ",U258="新加算Ⅴ（１）",U258="新加算Ⅴ（２）",U258="新加算Ⅴ（５）",U258="新加算Ⅴ（７）",U258="新加算Ⅴ（10）"),IF(AS258="","未入力","入力済"),"")</f>
        <v/>
      </c>
      <c r="BL258" s="543" t="str">
        <f>G258</f>
        <v/>
      </c>
    </row>
    <row r="259" spans="1:64" ht="15" customHeight="1">
      <c r="A259" s="1226"/>
      <c r="B259" s="1272"/>
      <c r="C259" s="1261"/>
      <c r="D259" s="1261"/>
      <c r="E259" s="1261"/>
      <c r="F259" s="1262"/>
      <c r="G259" s="1266"/>
      <c r="H259" s="1266"/>
      <c r="I259" s="1266"/>
      <c r="J259" s="1372"/>
      <c r="K259" s="1266"/>
      <c r="L259" s="1247"/>
      <c r="M259" s="1250"/>
      <c r="N259" s="1370" t="str">
        <f>IF('別紙様式2-2（４・５月分）'!Q198="","",'別紙様式2-2（４・５月分）'!Q198)</f>
        <v/>
      </c>
      <c r="O259" s="1367"/>
      <c r="P259" s="1383"/>
      <c r="Q259" s="1384"/>
      <c r="R259" s="1385"/>
      <c r="S259" s="1393"/>
      <c r="T259" s="1414"/>
      <c r="U259" s="1416"/>
      <c r="V259" s="1458"/>
      <c r="W259" s="1351"/>
      <c r="X259" s="1353"/>
      <c r="Y259" s="1355"/>
      <c r="Z259" s="1353"/>
      <c r="AA259" s="1355"/>
      <c r="AB259" s="1353"/>
      <c r="AC259" s="1355"/>
      <c r="AD259" s="1353"/>
      <c r="AE259" s="1355"/>
      <c r="AF259" s="1355"/>
      <c r="AG259" s="1355"/>
      <c r="AH259" s="1361"/>
      <c r="AI259" s="1482"/>
      <c r="AJ259" s="1484"/>
      <c r="AK259" s="1486"/>
      <c r="AL259" s="1434"/>
      <c r="AM259" s="1488"/>
      <c r="AN259" s="1503"/>
      <c r="AO259" s="1365"/>
      <c r="AP259" s="1404"/>
      <c r="AQ259" s="1404"/>
      <c r="AR259" s="1490"/>
      <c r="AS259" s="1492"/>
      <c r="AT259" s="1331" t="str">
        <f t="shared" si="203"/>
        <v/>
      </c>
      <c r="AU259" s="651"/>
      <c r="AV259" s="1493"/>
      <c r="AW259" s="1518" t="str">
        <f>IF('別紙様式2-2（４・５月分）'!O198="","",'別紙様式2-2（４・５月分）'!O198)</f>
        <v/>
      </c>
      <c r="AX259" s="1507"/>
      <c r="AY259" s="1506"/>
      <c r="AZ259" s="1321"/>
      <c r="BA259" s="1321"/>
      <c r="BB259" s="1321"/>
      <c r="BC259" s="1321"/>
      <c r="BD259" s="1321"/>
      <c r="BE259" s="1321"/>
      <c r="BF259" s="1321"/>
      <c r="BG259" s="1321"/>
      <c r="BH259" s="1321"/>
      <c r="BI259" s="1321"/>
      <c r="BJ259" s="1512"/>
      <c r="BK259" s="1493"/>
      <c r="BL259" s="543" t="str">
        <f>G258</f>
        <v/>
      </c>
    </row>
    <row r="260" spans="1:64" ht="15" customHeight="1">
      <c r="A260" s="1240"/>
      <c r="B260" s="1272"/>
      <c r="C260" s="1261"/>
      <c r="D260" s="1261"/>
      <c r="E260" s="1261"/>
      <c r="F260" s="1262"/>
      <c r="G260" s="1266"/>
      <c r="H260" s="1266"/>
      <c r="I260" s="1266"/>
      <c r="J260" s="1372"/>
      <c r="K260" s="1266"/>
      <c r="L260" s="1247"/>
      <c r="M260" s="1250"/>
      <c r="N260" s="1371"/>
      <c r="O260" s="1368"/>
      <c r="P260" s="1390" t="s">
        <v>2179</v>
      </c>
      <c r="Q260" s="1386" t="str">
        <f>IFERROR(VLOOKUP('別紙様式2-2（４・５月分）'!AR197,【参考】数式用!$AT$5:$AV$22,3,FALSE),"")</f>
        <v/>
      </c>
      <c r="R260" s="1388" t="s">
        <v>2190</v>
      </c>
      <c r="S260" s="1396" t="str">
        <f>IFERROR(VLOOKUP(K258,【参考】数式用!$A$5:$AB$27,MATCH(Q260,【参考】数式用!$B$4:$AB$4,0)+1,0),"")</f>
        <v/>
      </c>
      <c r="T260" s="1459" t="s">
        <v>217</v>
      </c>
      <c r="U260" s="1461"/>
      <c r="V260" s="1463" t="str">
        <f>IFERROR(VLOOKUP(K258,【参考】数式用!$A$5:$AB$27,MATCH(U260,【参考】数式用!$B$4:$AB$4,0)+1,0),"")</f>
        <v/>
      </c>
      <c r="W260" s="1465" t="s">
        <v>19</v>
      </c>
      <c r="X260" s="1508">
        <v>7</v>
      </c>
      <c r="Y260" s="1407" t="s">
        <v>10</v>
      </c>
      <c r="Z260" s="1508">
        <v>4</v>
      </c>
      <c r="AA260" s="1407" t="s">
        <v>45</v>
      </c>
      <c r="AB260" s="1508">
        <v>8</v>
      </c>
      <c r="AC260" s="1407" t="s">
        <v>10</v>
      </c>
      <c r="AD260" s="1508">
        <v>3</v>
      </c>
      <c r="AE260" s="1407" t="s">
        <v>13</v>
      </c>
      <c r="AF260" s="1407" t="s">
        <v>24</v>
      </c>
      <c r="AG260" s="1407">
        <f>IF(X260&gt;=1,(AB260*12+AD260)-(X260*12+Z260)+1,"")</f>
        <v>12</v>
      </c>
      <c r="AH260" s="1409" t="s">
        <v>38</v>
      </c>
      <c r="AI260" s="1496" t="str">
        <f>IFERROR(ROUNDDOWN(ROUND(L258*V260,0)*M258,0)*AG260,"")</f>
        <v/>
      </c>
      <c r="AJ260" s="1510" t="str">
        <f>IFERROR(ROUNDDOWN(ROUND((L258*(V260-AX258)),0)*M258,0)*AG260,"")</f>
        <v/>
      </c>
      <c r="AK260" s="1494">
        <f>IFERROR(IF(OR(N258="",N259="",N261=""),0,ROUNDDOWN(ROUNDDOWN(ROUND(L258*VLOOKUP(K258,【参考】数式用!$A$5:$AB$27,MATCH("新加算Ⅳ",【参考】数式用!$B$4:$AB$4,0)+1,0),0)*M258,0)*AG260*0.5,0)),"")</f>
        <v>0</v>
      </c>
      <c r="AL260" s="1435" t="str">
        <f t="shared" ref="AL260" si="253">IF(U260&lt;&gt;"","新規に適用","")</f>
        <v/>
      </c>
      <c r="AM260" s="1498">
        <f>IFERROR(IF(OR(N261="ベア加算",N261=""),0, IF(OR(U258="新加算Ⅰ",U258="新加算Ⅱ",U258="新加算Ⅲ",U258="新加算Ⅳ"),0,ROUNDDOWN(ROUND(L258*VLOOKUP(K258,【参考】数式用!$A$5:$I$27,MATCH("ベア加算",【参考】数式用!$B$4:$I$4,0)+1,0),0)*M258,0)*AG260)),"")</f>
        <v>0</v>
      </c>
      <c r="AN260" s="1356" t="str">
        <f t="shared" ref="AN260" si="254">IF(AM260=0,"",IF(AND(U260&lt;&gt;"",AN258=""),"新規に適用",IF(AND(U260&lt;&gt;"",AN258&lt;&gt;""),"継続で適用","")))</f>
        <v/>
      </c>
      <c r="AO260" s="1356" t="str">
        <f>IF(AND(U260&lt;&gt;"",AO258=""),"新規に適用",IF(AND(U260&lt;&gt;"",AO258&lt;&gt;""),"継続で適用",""))</f>
        <v/>
      </c>
      <c r="AP260" s="1358"/>
      <c r="AQ260" s="1356" t="str">
        <f>IF(AND(U260&lt;&gt;"",AQ258=""),"新規に適用",IF(AND(U260&lt;&gt;"",AQ258&lt;&gt;""),"継続で適用",""))</f>
        <v/>
      </c>
      <c r="AR260" s="1344" t="str">
        <f t="shared" si="226"/>
        <v/>
      </c>
      <c r="AS260" s="1356" t="str">
        <f>IF(AND(U260&lt;&gt;"",AS258=""),"新規に適用",IF(AND(U260&lt;&gt;"",AS258&lt;&gt;""),"継続で適用",""))</f>
        <v/>
      </c>
      <c r="AT260" s="1331"/>
      <c r="AU260" s="651"/>
      <c r="AV260" s="1493" t="str">
        <f>IF(K258&lt;&gt;"","V列に色付け","")</f>
        <v/>
      </c>
      <c r="AW260" s="1518"/>
      <c r="AX260" s="1507"/>
      <c r="AY260" s="163"/>
      <c r="AZ260" s="163"/>
      <c r="BA260" s="163"/>
      <c r="BB260" s="163"/>
      <c r="BC260" s="163"/>
      <c r="BD260" s="163"/>
      <c r="BE260" s="163"/>
      <c r="BF260" s="163"/>
      <c r="BG260" s="163"/>
      <c r="BH260" s="163"/>
      <c r="BI260" s="163"/>
      <c r="BJ260" s="163"/>
      <c r="BK260" s="163"/>
      <c r="BL260" s="543" t="str">
        <f>G258</f>
        <v/>
      </c>
    </row>
    <row r="261" spans="1:64" ht="30" customHeight="1" thickBot="1">
      <c r="A261" s="1227"/>
      <c r="B261" s="1376"/>
      <c r="C261" s="1377"/>
      <c r="D261" s="1377"/>
      <c r="E261" s="1377"/>
      <c r="F261" s="1378"/>
      <c r="G261" s="1267"/>
      <c r="H261" s="1267"/>
      <c r="I261" s="1267"/>
      <c r="J261" s="1373"/>
      <c r="K261" s="1267"/>
      <c r="L261" s="1248"/>
      <c r="M261" s="1251"/>
      <c r="N261" s="650" t="str">
        <f>IF('別紙様式2-2（４・５月分）'!Q199="","",'別紙様式2-2（４・５月分）'!Q199)</f>
        <v/>
      </c>
      <c r="O261" s="1369"/>
      <c r="P261" s="1391"/>
      <c r="Q261" s="1387"/>
      <c r="R261" s="1389"/>
      <c r="S261" s="1395"/>
      <c r="T261" s="1460"/>
      <c r="U261" s="1462"/>
      <c r="V261" s="1464"/>
      <c r="W261" s="1466"/>
      <c r="X261" s="1509"/>
      <c r="Y261" s="1408"/>
      <c r="Z261" s="1509"/>
      <c r="AA261" s="1408"/>
      <c r="AB261" s="1509"/>
      <c r="AC261" s="1408"/>
      <c r="AD261" s="1509"/>
      <c r="AE261" s="1408"/>
      <c r="AF261" s="1408"/>
      <c r="AG261" s="1408"/>
      <c r="AH261" s="1410"/>
      <c r="AI261" s="1497"/>
      <c r="AJ261" s="1511"/>
      <c r="AK261" s="1495"/>
      <c r="AL261" s="1436"/>
      <c r="AM261" s="1499"/>
      <c r="AN261" s="1357"/>
      <c r="AO261" s="1357"/>
      <c r="AP261" s="1359"/>
      <c r="AQ261" s="1357"/>
      <c r="AR261" s="1345"/>
      <c r="AS261" s="1357"/>
      <c r="AT261" s="581" t="str">
        <f t="shared" ref="AT261" si="255">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51"/>
      <c r="AV261" s="1493"/>
      <c r="AW261" s="652" t="str">
        <f>IF('別紙様式2-2（４・５月分）'!O199="","",'別紙様式2-2（４・５月分）'!O199)</f>
        <v/>
      </c>
      <c r="AX261" s="1507"/>
      <c r="AY261" s="163"/>
      <c r="AZ261" s="163"/>
      <c r="BA261" s="163"/>
      <c r="BB261" s="163"/>
      <c r="BC261" s="163"/>
      <c r="BD261" s="163"/>
      <c r="BE261" s="163"/>
      <c r="BF261" s="163"/>
      <c r="BG261" s="163"/>
      <c r="BH261" s="163"/>
      <c r="BI261" s="163"/>
      <c r="BJ261" s="163"/>
      <c r="BK261" s="163"/>
      <c r="BL261" s="543" t="str">
        <f>G258</f>
        <v/>
      </c>
    </row>
    <row r="262" spans="1:64" ht="30" customHeight="1">
      <c r="A262" s="1225">
        <v>63</v>
      </c>
      <c r="B262" s="1272" t="str">
        <f>IF(基本情報入力シート!C116="","",基本情報入力シート!C116)</f>
        <v/>
      </c>
      <c r="C262" s="1261"/>
      <c r="D262" s="1261"/>
      <c r="E262" s="1261"/>
      <c r="F262" s="1262"/>
      <c r="G262" s="1266" t="str">
        <f>IF(基本情報入力シート!M116="","",基本情報入力シート!M116)</f>
        <v/>
      </c>
      <c r="H262" s="1266" t="str">
        <f>IF(基本情報入力シート!R116="","",基本情報入力シート!R116)</f>
        <v/>
      </c>
      <c r="I262" s="1266" t="str">
        <f>IF(基本情報入力シート!W116="","",基本情報入力シート!W116)</f>
        <v/>
      </c>
      <c r="J262" s="1372" t="str">
        <f>IF(基本情報入力シート!X116="","",基本情報入力シート!X116)</f>
        <v/>
      </c>
      <c r="K262" s="1266" t="str">
        <f>IF(基本情報入力シート!Y116="","",基本情報入力シート!Y116)</f>
        <v/>
      </c>
      <c r="L262" s="1247" t="str">
        <f>IF(基本情報入力シート!AB116="","",基本情報入力シート!AB116)</f>
        <v/>
      </c>
      <c r="M262" s="1374" t="str">
        <f>IF(基本情報入力シート!AC116="","",基本情報入力シート!AC116)</f>
        <v/>
      </c>
      <c r="N262" s="647" t="str">
        <f>IF('別紙様式2-2（４・５月分）'!Q200="","",'別紙様式2-2（４・５月分）'!Q200)</f>
        <v/>
      </c>
      <c r="O262" s="1366" t="str">
        <f>IF(SUM('別紙様式2-2（４・５月分）'!R200:R202)=0,"",SUM('別紙様式2-2（４・５月分）'!R200:R202))</f>
        <v/>
      </c>
      <c r="P262" s="1380" t="str">
        <f>IFERROR(VLOOKUP('別紙様式2-2（４・５月分）'!AR200,【参考】数式用!$AT$5:$AU$22,2,FALSE),"")</f>
        <v/>
      </c>
      <c r="Q262" s="1381"/>
      <c r="R262" s="1382"/>
      <c r="S262" s="1392" t="str">
        <f>IFERROR(VLOOKUP(K262,【参考】数式用!$A$5:$AB$27,MATCH(P262,【参考】数式用!$B$4:$AB$4,0)+1,0),"")</f>
        <v/>
      </c>
      <c r="T262" s="1413" t="s">
        <v>2173</v>
      </c>
      <c r="U262" s="1415"/>
      <c r="V262" s="1457" t="str">
        <f>IFERROR(VLOOKUP(K262,【参考】数式用!$A$5:$AB$27,MATCH(U262,【参考】数式用!$B$4:$AB$4,0)+1,0),"")</f>
        <v/>
      </c>
      <c r="W262" s="1350" t="s">
        <v>19</v>
      </c>
      <c r="X262" s="1352">
        <v>6</v>
      </c>
      <c r="Y262" s="1354" t="s">
        <v>10</v>
      </c>
      <c r="Z262" s="1352">
        <v>6</v>
      </c>
      <c r="AA262" s="1354" t="s">
        <v>45</v>
      </c>
      <c r="AB262" s="1352">
        <v>7</v>
      </c>
      <c r="AC262" s="1354" t="s">
        <v>10</v>
      </c>
      <c r="AD262" s="1352">
        <v>3</v>
      </c>
      <c r="AE262" s="1354" t="s">
        <v>13</v>
      </c>
      <c r="AF262" s="1354" t="s">
        <v>24</v>
      </c>
      <c r="AG262" s="1354">
        <f>IF(X262&gt;=1,(AB262*12+AD262)-(X262*12+Z262)+1,"")</f>
        <v>10</v>
      </c>
      <c r="AH262" s="1360" t="s">
        <v>38</v>
      </c>
      <c r="AI262" s="1481" t="str">
        <f>IFERROR(ROUNDDOWN(ROUND(L262*V262,0)*M262,0)*AG262,"")</f>
        <v/>
      </c>
      <c r="AJ262" s="1483" t="str">
        <f>IFERROR(ROUNDDOWN(ROUND((L262*(V262-AX262)),0)*M262,0)*AG262,"")</f>
        <v/>
      </c>
      <c r="AK262" s="1485">
        <f>IFERROR(IF(OR(N262="",N263="",N265=""),0,ROUNDDOWN(ROUNDDOWN(ROUND(L262*VLOOKUP(K262,【参考】数式用!$A$5:$AB$27,MATCH("新加算Ⅳ",【参考】数式用!$B$4:$AB$4,0)+1,0),0)*M262,0)*AG262*0.5,0)),"")</f>
        <v>0</v>
      </c>
      <c r="AL262" s="1433"/>
      <c r="AM262" s="1487">
        <f>IFERROR(IF(OR(N265="ベア加算",N265=""),0, IF(OR(U262="新加算Ⅰ",U262="新加算Ⅱ",U262="新加算Ⅲ",U262="新加算Ⅳ"),ROUNDDOWN(ROUND(L262*VLOOKUP(K262,【参考】数式用!$A$5:$I$27,MATCH("ベア加算",【参考】数式用!$B$4:$I$4,0)+1,0),0)*M262,0)*AG262,0)),"")</f>
        <v>0</v>
      </c>
      <c r="AN262" s="1502"/>
      <c r="AO262" s="1364"/>
      <c r="AP262" s="1403"/>
      <c r="AQ262" s="1403"/>
      <c r="AR262" s="1489"/>
      <c r="AS262" s="1491"/>
      <c r="AT262" s="556" t="str">
        <f t="shared" si="201"/>
        <v/>
      </c>
      <c r="AU262" s="651"/>
      <c r="AV262" s="1493" t="str">
        <f>IF(K262&lt;&gt;"","V列に色付け","")</f>
        <v/>
      </c>
      <c r="AW262" s="652" t="str">
        <f>IF('別紙様式2-2（４・５月分）'!O200="","",'別紙様式2-2（４・５月分）'!O200)</f>
        <v/>
      </c>
      <c r="AX262" s="1507" t="str">
        <f>IF(SUM('別紙様式2-2（４・５月分）'!P200:P202)=0,"",SUM('別紙様式2-2（４・５月分）'!P200:P202))</f>
        <v/>
      </c>
      <c r="AY262" s="1506" t="str">
        <f>IFERROR(VLOOKUP(K262,【参考】数式用!$AJ$2:$AK$24,2,FALSE),"")</f>
        <v/>
      </c>
      <c r="AZ262" s="1321" t="s">
        <v>2098</v>
      </c>
      <c r="BA262" s="1321" t="s">
        <v>2099</v>
      </c>
      <c r="BB262" s="1321" t="s">
        <v>2100</v>
      </c>
      <c r="BC262" s="1321" t="s">
        <v>2101</v>
      </c>
      <c r="BD262" s="1321" t="str">
        <f>IF(AND(P262&lt;&gt;"新加算Ⅰ",P262&lt;&gt;"新加算Ⅱ",P262&lt;&gt;"新加算Ⅲ",P262&lt;&gt;"新加算Ⅳ"),P262,IF(Q264&lt;&gt;"",Q264,""))</f>
        <v/>
      </c>
      <c r="BE262" s="1321"/>
      <c r="BF262" s="1321" t="str">
        <f t="shared" ref="BF262" si="256">IF(AM262&lt;&gt;0,IF(AN262="○","入力済","未入力"),"")</f>
        <v/>
      </c>
      <c r="BG262" s="1321"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321" t="str">
        <f>IF(OR(U262="新加算Ⅴ（７）",U262="新加算Ⅴ（９）",U262="新加算Ⅴ（10）",U262="新加算Ⅴ（12）",U262="新加算Ⅴ（13）",U262="新加算Ⅴ（14）"),IF(OR(AP262="○",AP262="令和６年度中に満たす"),"入力済","未入力"),"")</f>
        <v/>
      </c>
      <c r="BI262" s="1321" t="str">
        <f>IF(OR(U262="新加算Ⅰ",U262="新加算Ⅱ",U262="新加算Ⅲ",U262="新加算Ⅴ（１）",U262="新加算Ⅴ（３）",U262="新加算Ⅴ（８）"),IF(OR(AQ262="○",AQ262="令和６年度中に満たす"),"入力済","未入力"),"")</f>
        <v/>
      </c>
      <c r="BJ262" s="1512"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493" t="str">
        <f>IF(OR(U262="新加算Ⅰ",U262="新加算Ⅴ（１）",U262="新加算Ⅴ（２）",U262="新加算Ⅴ（５）",U262="新加算Ⅴ（７）",U262="新加算Ⅴ（10）"),IF(AS262="","未入力","入力済"),"")</f>
        <v/>
      </c>
      <c r="BL262" s="543" t="str">
        <f>G262</f>
        <v/>
      </c>
    </row>
    <row r="263" spans="1:64" ht="15" customHeight="1">
      <c r="A263" s="1226"/>
      <c r="B263" s="1272"/>
      <c r="C263" s="1261"/>
      <c r="D263" s="1261"/>
      <c r="E263" s="1261"/>
      <c r="F263" s="1262"/>
      <c r="G263" s="1266"/>
      <c r="H263" s="1266"/>
      <c r="I263" s="1266"/>
      <c r="J263" s="1372"/>
      <c r="K263" s="1266"/>
      <c r="L263" s="1247"/>
      <c r="M263" s="1374"/>
      <c r="N263" s="1370" t="str">
        <f>IF('別紙様式2-2（４・５月分）'!Q201="","",'別紙様式2-2（４・５月分）'!Q201)</f>
        <v/>
      </c>
      <c r="O263" s="1367"/>
      <c r="P263" s="1383"/>
      <c r="Q263" s="1384"/>
      <c r="R263" s="1385"/>
      <c r="S263" s="1393"/>
      <c r="T263" s="1414"/>
      <c r="U263" s="1416"/>
      <c r="V263" s="1458"/>
      <c r="W263" s="1351"/>
      <c r="X263" s="1353"/>
      <c r="Y263" s="1355"/>
      <c r="Z263" s="1353"/>
      <c r="AA263" s="1355"/>
      <c r="AB263" s="1353"/>
      <c r="AC263" s="1355"/>
      <c r="AD263" s="1353"/>
      <c r="AE263" s="1355"/>
      <c r="AF263" s="1355"/>
      <c r="AG263" s="1355"/>
      <c r="AH263" s="1361"/>
      <c r="AI263" s="1482"/>
      <c r="AJ263" s="1484"/>
      <c r="AK263" s="1486"/>
      <c r="AL263" s="1434"/>
      <c r="AM263" s="1488"/>
      <c r="AN263" s="1503"/>
      <c r="AO263" s="1365"/>
      <c r="AP263" s="1404"/>
      <c r="AQ263" s="1404"/>
      <c r="AR263" s="1490"/>
      <c r="AS263" s="1492"/>
      <c r="AT263" s="1331" t="str">
        <f t="shared" si="203"/>
        <v/>
      </c>
      <c r="AU263" s="651"/>
      <c r="AV263" s="1493"/>
      <c r="AW263" s="1518" t="str">
        <f>IF('別紙様式2-2（４・５月分）'!O201="","",'別紙様式2-2（４・５月分）'!O201)</f>
        <v/>
      </c>
      <c r="AX263" s="1507"/>
      <c r="AY263" s="1506"/>
      <c r="AZ263" s="1321"/>
      <c r="BA263" s="1321"/>
      <c r="BB263" s="1321"/>
      <c r="BC263" s="1321"/>
      <c r="BD263" s="1321"/>
      <c r="BE263" s="1321"/>
      <c r="BF263" s="1321"/>
      <c r="BG263" s="1321"/>
      <c r="BH263" s="1321"/>
      <c r="BI263" s="1321"/>
      <c r="BJ263" s="1512"/>
      <c r="BK263" s="1493"/>
      <c r="BL263" s="543" t="str">
        <f>G262</f>
        <v/>
      </c>
    </row>
    <row r="264" spans="1:64" ht="15" customHeight="1">
      <c r="A264" s="1240"/>
      <c r="B264" s="1272"/>
      <c r="C264" s="1261"/>
      <c r="D264" s="1261"/>
      <c r="E264" s="1261"/>
      <c r="F264" s="1262"/>
      <c r="G264" s="1266"/>
      <c r="H264" s="1266"/>
      <c r="I264" s="1266"/>
      <c r="J264" s="1372"/>
      <c r="K264" s="1266"/>
      <c r="L264" s="1247"/>
      <c r="M264" s="1374"/>
      <c r="N264" s="1371"/>
      <c r="O264" s="1368"/>
      <c r="P264" s="1390" t="s">
        <v>2179</v>
      </c>
      <c r="Q264" s="1386" t="str">
        <f>IFERROR(VLOOKUP('別紙様式2-2（４・５月分）'!AR200,【参考】数式用!$AT$5:$AV$22,3,FALSE),"")</f>
        <v/>
      </c>
      <c r="R264" s="1388" t="s">
        <v>2190</v>
      </c>
      <c r="S264" s="1394" t="str">
        <f>IFERROR(VLOOKUP(K262,【参考】数式用!$A$5:$AB$27,MATCH(Q264,【参考】数式用!$B$4:$AB$4,0)+1,0),"")</f>
        <v/>
      </c>
      <c r="T264" s="1459" t="s">
        <v>217</v>
      </c>
      <c r="U264" s="1461"/>
      <c r="V264" s="1463" t="str">
        <f>IFERROR(VLOOKUP(K262,【参考】数式用!$A$5:$AB$27,MATCH(U264,【参考】数式用!$B$4:$AB$4,0)+1,0),"")</f>
        <v/>
      </c>
      <c r="W264" s="1465" t="s">
        <v>19</v>
      </c>
      <c r="X264" s="1508">
        <v>7</v>
      </c>
      <c r="Y264" s="1407" t="s">
        <v>10</v>
      </c>
      <c r="Z264" s="1508">
        <v>4</v>
      </c>
      <c r="AA264" s="1407" t="s">
        <v>45</v>
      </c>
      <c r="AB264" s="1508">
        <v>8</v>
      </c>
      <c r="AC264" s="1407" t="s">
        <v>10</v>
      </c>
      <c r="AD264" s="1508">
        <v>3</v>
      </c>
      <c r="AE264" s="1407" t="s">
        <v>13</v>
      </c>
      <c r="AF264" s="1407" t="s">
        <v>24</v>
      </c>
      <c r="AG264" s="1407">
        <f>IF(X264&gt;=1,(AB264*12+AD264)-(X264*12+Z264)+1,"")</f>
        <v>12</v>
      </c>
      <c r="AH264" s="1409" t="s">
        <v>38</v>
      </c>
      <c r="AI264" s="1496" t="str">
        <f>IFERROR(ROUNDDOWN(ROUND(L262*V264,0)*M262,0)*AG264,"")</f>
        <v/>
      </c>
      <c r="AJ264" s="1510" t="str">
        <f>IFERROR(ROUNDDOWN(ROUND((L262*(V264-AX262)),0)*M262,0)*AG264,"")</f>
        <v/>
      </c>
      <c r="AK264" s="1494">
        <f>IFERROR(IF(OR(N262="",N263="",N265=""),0,ROUNDDOWN(ROUNDDOWN(ROUND(L262*VLOOKUP(K262,【参考】数式用!$A$5:$AB$27,MATCH("新加算Ⅳ",【参考】数式用!$B$4:$AB$4,0)+1,0),0)*M262,0)*AG264*0.5,0)),"")</f>
        <v>0</v>
      </c>
      <c r="AL264" s="1435" t="str">
        <f t="shared" ref="AL264" si="257">IF(U264&lt;&gt;"","新規に適用","")</f>
        <v/>
      </c>
      <c r="AM264" s="1498">
        <f>IFERROR(IF(OR(N265="ベア加算",N265=""),0, IF(OR(U262="新加算Ⅰ",U262="新加算Ⅱ",U262="新加算Ⅲ",U262="新加算Ⅳ"),0,ROUNDDOWN(ROUND(L262*VLOOKUP(K262,【参考】数式用!$A$5:$I$27,MATCH("ベア加算",【参考】数式用!$B$4:$I$4,0)+1,0),0)*M262,0)*AG264)),"")</f>
        <v>0</v>
      </c>
      <c r="AN264" s="1356" t="str">
        <f t="shared" ref="AN264" si="258">IF(AM264=0,"",IF(AND(U264&lt;&gt;"",AN262=""),"新規に適用",IF(AND(U264&lt;&gt;"",AN262&lt;&gt;""),"継続で適用","")))</f>
        <v/>
      </c>
      <c r="AO264" s="1356" t="str">
        <f>IF(AND(U264&lt;&gt;"",AO262=""),"新規に適用",IF(AND(U264&lt;&gt;"",AO262&lt;&gt;""),"継続で適用",""))</f>
        <v/>
      </c>
      <c r="AP264" s="1358"/>
      <c r="AQ264" s="1356" t="str">
        <f>IF(AND(U264&lt;&gt;"",AQ262=""),"新規に適用",IF(AND(U264&lt;&gt;"",AQ262&lt;&gt;""),"継続で適用",""))</f>
        <v/>
      </c>
      <c r="AR264" s="1344" t="str">
        <f t="shared" si="226"/>
        <v/>
      </c>
      <c r="AS264" s="1356" t="str">
        <f>IF(AND(U264&lt;&gt;"",AS262=""),"新規に適用",IF(AND(U264&lt;&gt;"",AS262&lt;&gt;""),"継続で適用",""))</f>
        <v/>
      </c>
      <c r="AT264" s="1331"/>
      <c r="AU264" s="651"/>
      <c r="AV264" s="1493" t="str">
        <f>IF(K262&lt;&gt;"","V列に色付け","")</f>
        <v/>
      </c>
      <c r="AW264" s="1518"/>
      <c r="AX264" s="1507"/>
      <c r="AY264" s="163"/>
      <c r="AZ264" s="163"/>
      <c r="BA264" s="163"/>
      <c r="BB264" s="163"/>
      <c r="BC264" s="163"/>
      <c r="BD264" s="163"/>
      <c r="BE264" s="163"/>
      <c r="BF264" s="163"/>
      <c r="BG264" s="163"/>
      <c r="BH264" s="163"/>
      <c r="BI264" s="163"/>
      <c r="BJ264" s="163"/>
      <c r="BK264" s="163"/>
      <c r="BL264" s="543" t="str">
        <f>G262</f>
        <v/>
      </c>
    </row>
    <row r="265" spans="1:64" ht="30" customHeight="1" thickBot="1">
      <c r="A265" s="1227"/>
      <c r="B265" s="1376"/>
      <c r="C265" s="1377"/>
      <c r="D265" s="1377"/>
      <c r="E265" s="1377"/>
      <c r="F265" s="1378"/>
      <c r="G265" s="1267"/>
      <c r="H265" s="1267"/>
      <c r="I265" s="1267"/>
      <c r="J265" s="1373"/>
      <c r="K265" s="1267"/>
      <c r="L265" s="1248"/>
      <c r="M265" s="1375"/>
      <c r="N265" s="650" t="str">
        <f>IF('別紙様式2-2（４・５月分）'!Q202="","",'別紙様式2-2（４・５月分）'!Q202)</f>
        <v/>
      </c>
      <c r="O265" s="1369"/>
      <c r="P265" s="1391"/>
      <c r="Q265" s="1387"/>
      <c r="R265" s="1389"/>
      <c r="S265" s="1395"/>
      <c r="T265" s="1460"/>
      <c r="U265" s="1462"/>
      <c r="V265" s="1464"/>
      <c r="W265" s="1466"/>
      <c r="X265" s="1509"/>
      <c r="Y265" s="1408"/>
      <c r="Z265" s="1509"/>
      <c r="AA265" s="1408"/>
      <c r="AB265" s="1509"/>
      <c r="AC265" s="1408"/>
      <c r="AD265" s="1509"/>
      <c r="AE265" s="1408"/>
      <c r="AF265" s="1408"/>
      <c r="AG265" s="1408"/>
      <c r="AH265" s="1410"/>
      <c r="AI265" s="1497"/>
      <c r="AJ265" s="1511"/>
      <c r="AK265" s="1495"/>
      <c r="AL265" s="1436"/>
      <c r="AM265" s="1499"/>
      <c r="AN265" s="1357"/>
      <c r="AO265" s="1357"/>
      <c r="AP265" s="1359"/>
      <c r="AQ265" s="1357"/>
      <c r="AR265" s="1345"/>
      <c r="AS265" s="1357"/>
      <c r="AT265" s="581" t="str">
        <f t="shared" ref="AT265" si="259">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51"/>
      <c r="AV265" s="1493"/>
      <c r="AW265" s="652" t="str">
        <f>IF('別紙様式2-2（４・５月分）'!O202="","",'別紙様式2-2（４・５月分）'!O202)</f>
        <v/>
      </c>
      <c r="AX265" s="1507"/>
      <c r="AY265" s="163"/>
      <c r="AZ265" s="163"/>
      <c r="BA265" s="163"/>
      <c r="BB265" s="163"/>
      <c r="BC265" s="163"/>
      <c r="BD265" s="163"/>
      <c r="BE265" s="163"/>
      <c r="BF265" s="163"/>
      <c r="BG265" s="163"/>
      <c r="BH265" s="163"/>
      <c r="BI265" s="163"/>
      <c r="BJ265" s="163"/>
      <c r="BK265" s="163"/>
      <c r="BL265" s="543" t="str">
        <f>G262</f>
        <v/>
      </c>
    </row>
    <row r="266" spans="1:64" ht="30" customHeight="1">
      <c r="A266" s="1241">
        <v>64</v>
      </c>
      <c r="B266" s="1271" t="str">
        <f>IF(基本情報入力シート!C117="","",基本情報入力シート!C117)</f>
        <v/>
      </c>
      <c r="C266" s="1259"/>
      <c r="D266" s="1259"/>
      <c r="E266" s="1259"/>
      <c r="F266" s="1260"/>
      <c r="G266" s="1265" t="str">
        <f>IF(基本情報入力シート!M117="","",基本情報入力シート!M117)</f>
        <v/>
      </c>
      <c r="H266" s="1265" t="str">
        <f>IF(基本情報入力シート!R117="","",基本情報入力シート!R117)</f>
        <v/>
      </c>
      <c r="I266" s="1265" t="str">
        <f>IF(基本情報入力シート!W117="","",基本情報入力シート!W117)</f>
        <v/>
      </c>
      <c r="J266" s="1379" t="str">
        <f>IF(基本情報入力シート!X117="","",基本情報入力シート!X117)</f>
        <v/>
      </c>
      <c r="K266" s="1265" t="str">
        <f>IF(基本情報入力シート!Y117="","",基本情報入力シート!Y117)</f>
        <v/>
      </c>
      <c r="L266" s="1246" t="str">
        <f>IF(基本情報入力シート!AB117="","",基本情報入力シート!AB117)</f>
        <v/>
      </c>
      <c r="M266" s="1249" t="str">
        <f>IF(基本情報入力シート!AC117="","",基本情報入力シート!AC117)</f>
        <v/>
      </c>
      <c r="N266" s="647" t="str">
        <f>IF('別紙様式2-2（４・５月分）'!Q203="","",'別紙様式2-2（４・５月分）'!Q203)</f>
        <v/>
      </c>
      <c r="O266" s="1366" t="str">
        <f>IF(SUM('別紙様式2-2（４・５月分）'!R203:R205)=0,"",SUM('別紙様式2-2（４・５月分）'!R203:R205))</f>
        <v/>
      </c>
      <c r="P266" s="1380" t="str">
        <f>IFERROR(VLOOKUP('別紙様式2-2（４・５月分）'!AR203,【参考】数式用!$AT$5:$AU$22,2,FALSE),"")</f>
        <v/>
      </c>
      <c r="Q266" s="1381"/>
      <c r="R266" s="1382"/>
      <c r="S266" s="1392" t="str">
        <f>IFERROR(VLOOKUP(K266,【参考】数式用!$A$5:$AB$27,MATCH(P266,【参考】数式用!$B$4:$AB$4,0)+1,0),"")</f>
        <v/>
      </c>
      <c r="T266" s="1413" t="s">
        <v>2173</v>
      </c>
      <c r="U266" s="1415"/>
      <c r="V266" s="1457" t="str">
        <f>IFERROR(VLOOKUP(K266,【参考】数式用!$A$5:$AB$27,MATCH(U266,【参考】数式用!$B$4:$AB$4,0)+1,0),"")</f>
        <v/>
      </c>
      <c r="W266" s="1350" t="s">
        <v>19</v>
      </c>
      <c r="X266" s="1352">
        <v>6</v>
      </c>
      <c r="Y266" s="1354" t="s">
        <v>10</v>
      </c>
      <c r="Z266" s="1352">
        <v>6</v>
      </c>
      <c r="AA266" s="1354" t="s">
        <v>45</v>
      </c>
      <c r="AB266" s="1352">
        <v>7</v>
      </c>
      <c r="AC266" s="1354" t="s">
        <v>10</v>
      </c>
      <c r="AD266" s="1352">
        <v>3</v>
      </c>
      <c r="AE266" s="1354" t="s">
        <v>13</v>
      </c>
      <c r="AF266" s="1354" t="s">
        <v>24</v>
      </c>
      <c r="AG266" s="1354">
        <f>IF(X266&gt;=1,(AB266*12+AD266)-(X266*12+Z266)+1,"")</f>
        <v>10</v>
      </c>
      <c r="AH266" s="1360" t="s">
        <v>38</v>
      </c>
      <c r="AI266" s="1481" t="str">
        <f>IFERROR(ROUNDDOWN(ROUND(L266*V266,0)*M266,0)*AG266,"")</f>
        <v/>
      </c>
      <c r="AJ266" s="1483" t="str">
        <f>IFERROR(ROUNDDOWN(ROUND((L266*(V266-AX266)),0)*M266,0)*AG266,"")</f>
        <v/>
      </c>
      <c r="AK266" s="1485">
        <f>IFERROR(IF(OR(N266="",N267="",N269=""),0,ROUNDDOWN(ROUNDDOWN(ROUND(L266*VLOOKUP(K266,【参考】数式用!$A$5:$AB$27,MATCH("新加算Ⅳ",【参考】数式用!$B$4:$AB$4,0)+1,0),0)*M266,0)*AG266*0.5,0)),"")</f>
        <v>0</v>
      </c>
      <c r="AL266" s="1433"/>
      <c r="AM266" s="1487">
        <f>IFERROR(IF(OR(N269="ベア加算",N269=""),0, IF(OR(U266="新加算Ⅰ",U266="新加算Ⅱ",U266="新加算Ⅲ",U266="新加算Ⅳ"),ROUNDDOWN(ROUND(L266*VLOOKUP(K266,【参考】数式用!$A$5:$I$27,MATCH("ベア加算",【参考】数式用!$B$4:$I$4,0)+1,0),0)*M266,0)*AG266,0)),"")</f>
        <v>0</v>
      </c>
      <c r="AN266" s="1502"/>
      <c r="AO266" s="1364"/>
      <c r="AP266" s="1403"/>
      <c r="AQ266" s="1403"/>
      <c r="AR266" s="1489"/>
      <c r="AS266" s="1491"/>
      <c r="AT266" s="556" t="str">
        <f t="shared" si="201"/>
        <v/>
      </c>
      <c r="AU266" s="651"/>
      <c r="AV266" s="1493" t="str">
        <f>IF(K266&lt;&gt;"","V列に色付け","")</f>
        <v/>
      </c>
      <c r="AW266" s="652" t="str">
        <f>IF('別紙様式2-2（４・５月分）'!O203="","",'別紙様式2-2（４・５月分）'!O203)</f>
        <v/>
      </c>
      <c r="AX266" s="1507" t="str">
        <f>IF(SUM('別紙様式2-2（４・５月分）'!P203:P205)=0,"",SUM('別紙様式2-2（４・５月分）'!P203:P205))</f>
        <v/>
      </c>
      <c r="AY266" s="1506" t="str">
        <f>IFERROR(VLOOKUP(K266,【参考】数式用!$AJ$2:$AK$24,2,FALSE),"")</f>
        <v/>
      </c>
      <c r="AZ266" s="1321" t="s">
        <v>2098</v>
      </c>
      <c r="BA266" s="1321" t="s">
        <v>2099</v>
      </c>
      <c r="BB266" s="1321" t="s">
        <v>2100</v>
      </c>
      <c r="BC266" s="1321" t="s">
        <v>2101</v>
      </c>
      <c r="BD266" s="1321" t="str">
        <f>IF(AND(P266&lt;&gt;"新加算Ⅰ",P266&lt;&gt;"新加算Ⅱ",P266&lt;&gt;"新加算Ⅲ",P266&lt;&gt;"新加算Ⅳ"),P266,IF(Q268&lt;&gt;"",Q268,""))</f>
        <v/>
      </c>
      <c r="BE266" s="1321"/>
      <c r="BF266" s="1321" t="str">
        <f t="shared" ref="BF266" si="260">IF(AM266&lt;&gt;0,IF(AN266="○","入力済","未入力"),"")</f>
        <v/>
      </c>
      <c r="BG266" s="1321"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321" t="str">
        <f>IF(OR(U266="新加算Ⅴ（７）",U266="新加算Ⅴ（９）",U266="新加算Ⅴ（10）",U266="新加算Ⅴ（12）",U266="新加算Ⅴ（13）",U266="新加算Ⅴ（14）"),IF(OR(AP266="○",AP266="令和６年度中に満たす"),"入力済","未入力"),"")</f>
        <v/>
      </c>
      <c r="BI266" s="1321" t="str">
        <f>IF(OR(U266="新加算Ⅰ",U266="新加算Ⅱ",U266="新加算Ⅲ",U266="新加算Ⅴ（１）",U266="新加算Ⅴ（３）",U266="新加算Ⅴ（８）"),IF(OR(AQ266="○",AQ266="令和６年度中に満たす"),"入力済","未入力"),"")</f>
        <v/>
      </c>
      <c r="BJ266" s="1512"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493" t="str">
        <f>IF(OR(U266="新加算Ⅰ",U266="新加算Ⅴ（１）",U266="新加算Ⅴ（２）",U266="新加算Ⅴ（５）",U266="新加算Ⅴ（７）",U266="新加算Ⅴ（10）"),IF(AS266="","未入力","入力済"),"")</f>
        <v/>
      </c>
      <c r="BL266" s="543" t="str">
        <f>G266</f>
        <v/>
      </c>
    </row>
    <row r="267" spans="1:64" ht="15" customHeight="1">
      <c r="A267" s="1226"/>
      <c r="B267" s="1272"/>
      <c r="C267" s="1261"/>
      <c r="D267" s="1261"/>
      <c r="E267" s="1261"/>
      <c r="F267" s="1262"/>
      <c r="G267" s="1266"/>
      <c r="H267" s="1266"/>
      <c r="I267" s="1266"/>
      <c r="J267" s="1372"/>
      <c r="K267" s="1266"/>
      <c r="L267" s="1247"/>
      <c r="M267" s="1250"/>
      <c r="N267" s="1370" t="str">
        <f>IF('別紙様式2-2（４・５月分）'!Q204="","",'別紙様式2-2（４・５月分）'!Q204)</f>
        <v/>
      </c>
      <c r="O267" s="1367"/>
      <c r="P267" s="1383"/>
      <c r="Q267" s="1384"/>
      <c r="R267" s="1385"/>
      <c r="S267" s="1393"/>
      <c r="T267" s="1414"/>
      <c r="U267" s="1416"/>
      <c r="V267" s="1458"/>
      <c r="W267" s="1351"/>
      <c r="X267" s="1353"/>
      <c r="Y267" s="1355"/>
      <c r="Z267" s="1353"/>
      <c r="AA267" s="1355"/>
      <c r="AB267" s="1353"/>
      <c r="AC267" s="1355"/>
      <c r="AD267" s="1353"/>
      <c r="AE267" s="1355"/>
      <c r="AF267" s="1355"/>
      <c r="AG267" s="1355"/>
      <c r="AH267" s="1361"/>
      <c r="AI267" s="1482"/>
      <c r="AJ267" s="1484"/>
      <c r="AK267" s="1486"/>
      <c r="AL267" s="1434"/>
      <c r="AM267" s="1488"/>
      <c r="AN267" s="1503"/>
      <c r="AO267" s="1365"/>
      <c r="AP267" s="1404"/>
      <c r="AQ267" s="1404"/>
      <c r="AR267" s="1490"/>
      <c r="AS267" s="1492"/>
      <c r="AT267" s="1331" t="str">
        <f t="shared" si="203"/>
        <v/>
      </c>
      <c r="AU267" s="651"/>
      <c r="AV267" s="1493"/>
      <c r="AW267" s="1518" t="str">
        <f>IF('別紙様式2-2（４・５月分）'!O204="","",'別紙様式2-2（４・５月分）'!O204)</f>
        <v/>
      </c>
      <c r="AX267" s="1507"/>
      <c r="AY267" s="1506"/>
      <c r="AZ267" s="1321"/>
      <c r="BA267" s="1321"/>
      <c r="BB267" s="1321"/>
      <c r="BC267" s="1321"/>
      <c r="BD267" s="1321"/>
      <c r="BE267" s="1321"/>
      <c r="BF267" s="1321"/>
      <c r="BG267" s="1321"/>
      <c r="BH267" s="1321"/>
      <c r="BI267" s="1321"/>
      <c r="BJ267" s="1512"/>
      <c r="BK267" s="1493"/>
      <c r="BL267" s="543" t="str">
        <f>G266</f>
        <v/>
      </c>
    </row>
    <row r="268" spans="1:64" ht="15" customHeight="1">
      <c r="A268" s="1240"/>
      <c r="B268" s="1272"/>
      <c r="C268" s="1261"/>
      <c r="D268" s="1261"/>
      <c r="E268" s="1261"/>
      <c r="F268" s="1262"/>
      <c r="G268" s="1266"/>
      <c r="H268" s="1266"/>
      <c r="I268" s="1266"/>
      <c r="J268" s="1372"/>
      <c r="K268" s="1266"/>
      <c r="L268" s="1247"/>
      <c r="M268" s="1250"/>
      <c r="N268" s="1371"/>
      <c r="O268" s="1368"/>
      <c r="P268" s="1390" t="s">
        <v>2179</v>
      </c>
      <c r="Q268" s="1386" t="str">
        <f>IFERROR(VLOOKUP('別紙様式2-2（４・５月分）'!AR203,【参考】数式用!$AT$5:$AV$22,3,FALSE),"")</f>
        <v/>
      </c>
      <c r="R268" s="1388" t="s">
        <v>2190</v>
      </c>
      <c r="S268" s="1396" t="str">
        <f>IFERROR(VLOOKUP(K266,【参考】数式用!$A$5:$AB$27,MATCH(Q268,【参考】数式用!$B$4:$AB$4,0)+1,0),"")</f>
        <v/>
      </c>
      <c r="T268" s="1459" t="s">
        <v>217</v>
      </c>
      <c r="U268" s="1461"/>
      <c r="V268" s="1463" t="str">
        <f>IFERROR(VLOOKUP(K266,【参考】数式用!$A$5:$AB$27,MATCH(U268,【参考】数式用!$B$4:$AB$4,0)+1,0),"")</f>
        <v/>
      </c>
      <c r="W268" s="1465" t="s">
        <v>19</v>
      </c>
      <c r="X268" s="1508">
        <v>7</v>
      </c>
      <c r="Y268" s="1407" t="s">
        <v>10</v>
      </c>
      <c r="Z268" s="1508">
        <v>4</v>
      </c>
      <c r="AA268" s="1407" t="s">
        <v>45</v>
      </c>
      <c r="AB268" s="1508">
        <v>8</v>
      </c>
      <c r="AC268" s="1407" t="s">
        <v>10</v>
      </c>
      <c r="AD268" s="1508">
        <v>3</v>
      </c>
      <c r="AE268" s="1407" t="s">
        <v>13</v>
      </c>
      <c r="AF268" s="1407" t="s">
        <v>24</v>
      </c>
      <c r="AG268" s="1407">
        <f>IF(X268&gt;=1,(AB268*12+AD268)-(X268*12+Z268)+1,"")</f>
        <v>12</v>
      </c>
      <c r="AH268" s="1409" t="s">
        <v>38</v>
      </c>
      <c r="AI268" s="1496" t="str">
        <f>IFERROR(ROUNDDOWN(ROUND(L266*V268,0)*M266,0)*AG268,"")</f>
        <v/>
      </c>
      <c r="AJ268" s="1510" t="str">
        <f>IFERROR(ROUNDDOWN(ROUND((L266*(V268-AX266)),0)*M266,0)*AG268,"")</f>
        <v/>
      </c>
      <c r="AK268" s="1494">
        <f>IFERROR(IF(OR(N266="",N267="",N269=""),0,ROUNDDOWN(ROUNDDOWN(ROUND(L266*VLOOKUP(K266,【参考】数式用!$A$5:$AB$27,MATCH("新加算Ⅳ",【参考】数式用!$B$4:$AB$4,0)+1,0),0)*M266,0)*AG268*0.5,0)),"")</f>
        <v>0</v>
      </c>
      <c r="AL268" s="1435" t="str">
        <f t="shared" ref="AL268" si="261">IF(U268&lt;&gt;"","新規に適用","")</f>
        <v/>
      </c>
      <c r="AM268" s="1498">
        <f>IFERROR(IF(OR(N269="ベア加算",N269=""),0, IF(OR(U266="新加算Ⅰ",U266="新加算Ⅱ",U266="新加算Ⅲ",U266="新加算Ⅳ"),0,ROUNDDOWN(ROUND(L266*VLOOKUP(K266,【参考】数式用!$A$5:$I$27,MATCH("ベア加算",【参考】数式用!$B$4:$I$4,0)+1,0),0)*M266,0)*AG268)),"")</f>
        <v>0</v>
      </c>
      <c r="AN268" s="1356" t="str">
        <f t="shared" ref="AN268" si="262">IF(AM268=0,"",IF(AND(U268&lt;&gt;"",AN266=""),"新規に適用",IF(AND(U268&lt;&gt;"",AN266&lt;&gt;""),"継続で適用","")))</f>
        <v/>
      </c>
      <c r="AO268" s="1356" t="str">
        <f>IF(AND(U268&lt;&gt;"",AO266=""),"新規に適用",IF(AND(U268&lt;&gt;"",AO266&lt;&gt;""),"継続で適用",""))</f>
        <v/>
      </c>
      <c r="AP268" s="1358"/>
      <c r="AQ268" s="1356" t="str">
        <f>IF(AND(U268&lt;&gt;"",AQ266=""),"新規に適用",IF(AND(U268&lt;&gt;"",AQ266&lt;&gt;""),"継続で適用",""))</f>
        <v/>
      </c>
      <c r="AR268" s="1344" t="str">
        <f t="shared" si="226"/>
        <v/>
      </c>
      <c r="AS268" s="1356" t="str">
        <f>IF(AND(U268&lt;&gt;"",AS266=""),"新規に適用",IF(AND(U268&lt;&gt;"",AS266&lt;&gt;""),"継続で適用",""))</f>
        <v/>
      </c>
      <c r="AT268" s="1331"/>
      <c r="AU268" s="651"/>
      <c r="AV268" s="1493" t="str">
        <f>IF(K266&lt;&gt;"","V列に色付け","")</f>
        <v/>
      </c>
      <c r="AW268" s="1518"/>
      <c r="AX268" s="1507"/>
      <c r="AY268" s="163"/>
      <c r="AZ268" s="163"/>
      <c r="BA268" s="163"/>
      <c r="BB268" s="163"/>
      <c r="BC268" s="163"/>
      <c r="BD268" s="163"/>
      <c r="BE268" s="163"/>
      <c r="BF268" s="163"/>
      <c r="BG268" s="163"/>
      <c r="BH268" s="163"/>
      <c r="BI268" s="163"/>
      <c r="BJ268" s="163"/>
      <c r="BK268" s="163"/>
      <c r="BL268" s="543" t="str">
        <f>G266</f>
        <v/>
      </c>
    </row>
    <row r="269" spans="1:64" ht="30" customHeight="1" thickBot="1">
      <c r="A269" s="1227"/>
      <c r="B269" s="1376"/>
      <c r="C269" s="1377"/>
      <c r="D269" s="1377"/>
      <c r="E269" s="1377"/>
      <c r="F269" s="1378"/>
      <c r="G269" s="1267"/>
      <c r="H269" s="1267"/>
      <c r="I269" s="1267"/>
      <c r="J269" s="1373"/>
      <c r="K269" s="1267"/>
      <c r="L269" s="1248"/>
      <c r="M269" s="1251"/>
      <c r="N269" s="650" t="str">
        <f>IF('別紙様式2-2（４・５月分）'!Q205="","",'別紙様式2-2（４・５月分）'!Q205)</f>
        <v/>
      </c>
      <c r="O269" s="1369"/>
      <c r="P269" s="1391"/>
      <c r="Q269" s="1387"/>
      <c r="R269" s="1389"/>
      <c r="S269" s="1395"/>
      <c r="T269" s="1460"/>
      <c r="U269" s="1462"/>
      <c r="V269" s="1464"/>
      <c r="W269" s="1466"/>
      <c r="X269" s="1509"/>
      <c r="Y269" s="1408"/>
      <c r="Z269" s="1509"/>
      <c r="AA269" s="1408"/>
      <c r="AB269" s="1509"/>
      <c r="AC269" s="1408"/>
      <c r="AD269" s="1509"/>
      <c r="AE269" s="1408"/>
      <c r="AF269" s="1408"/>
      <c r="AG269" s="1408"/>
      <c r="AH269" s="1410"/>
      <c r="AI269" s="1497"/>
      <c r="AJ269" s="1511"/>
      <c r="AK269" s="1495"/>
      <c r="AL269" s="1436"/>
      <c r="AM269" s="1499"/>
      <c r="AN269" s="1357"/>
      <c r="AO269" s="1357"/>
      <c r="AP269" s="1359"/>
      <c r="AQ269" s="1357"/>
      <c r="AR269" s="1345"/>
      <c r="AS269" s="1357"/>
      <c r="AT269" s="581" t="str">
        <f t="shared" ref="AT269" si="263">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51"/>
      <c r="AV269" s="1493"/>
      <c r="AW269" s="652" t="str">
        <f>IF('別紙様式2-2（４・５月分）'!O205="","",'別紙様式2-2（４・５月分）'!O205)</f>
        <v/>
      </c>
      <c r="AX269" s="1507"/>
      <c r="AY269" s="163"/>
      <c r="AZ269" s="163"/>
      <c r="BA269" s="163"/>
      <c r="BB269" s="163"/>
      <c r="BC269" s="163"/>
      <c r="BD269" s="163"/>
      <c r="BE269" s="163"/>
      <c r="BF269" s="163"/>
      <c r="BG269" s="163"/>
      <c r="BH269" s="163"/>
      <c r="BI269" s="163"/>
      <c r="BJ269" s="163"/>
      <c r="BK269" s="163"/>
      <c r="BL269" s="543" t="str">
        <f>G266</f>
        <v/>
      </c>
    </row>
    <row r="270" spans="1:64" ht="30" customHeight="1">
      <c r="A270" s="1225">
        <v>65</v>
      </c>
      <c r="B270" s="1272" t="str">
        <f>IF(基本情報入力シート!C118="","",基本情報入力シート!C118)</f>
        <v/>
      </c>
      <c r="C270" s="1261"/>
      <c r="D270" s="1261"/>
      <c r="E270" s="1261"/>
      <c r="F270" s="1262"/>
      <c r="G270" s="1266" t="str">
        <f>IF(基本情報入力シート!M118="","",基本情報入力シート!M118)</f>
        <v/>
      </c>
      <c r="H270" s="1266" t="str">
        <f>IF(基本情報入力シート!R118="","",基本情報入力シート!R118)</f>
        <v/>
      </c>
      <c r="I270" s="1266" t="str">
        <f>IF(基本情報入力シート!W118="","",基本情報入力シート!W118)</f>
        <v/>
      </c>
      <c r="J270" s="1372" t="str">
        <f>IF(基本情報入力シート!X118="","",基本情報入力シート!X118)</f>
        <v/>
      </c>
      <c r="K270" s="1266" t="str">
        <f>IF(基本情報入力シート!Y118="","",基本情報入力シート!Y118)</f>
        <v/>
      </c>
      <c r="L270" s="1247" t="str">
        <f>IF(基本情報入力シート!AB118="","",基本情報入力シート!AB118)</f>
        <v/>
      </c>
      <c r="M270" s="1374" t="str">
        <f>IF(基本情報入力シート!AC118="","",基本情報入力シート!AC118)</f>
        <v/>
      </c>
      <c r="N270" s="647" t="str">
        <f>IF('別紙様式2-2（４・５月分）'!Q206="","",'別紙様式2-2（４・５月分）'!Q206)</f>
        <v/>
      </c>
      <c r="O270" s="1366" t="str">
        <f>IF(SUM('別紙様式2-2（４・５月分）'!R206:R208)=0,"",SUM('別紙様式2-2（４・５月分）'!R206:R208))</f>
        <v/>
      </c>
      <c r="P270" s="1380" t="str">
        <f>IFERROR(VLOOKUP('別紙様式2-2（４・５月分）'!AR206,【参考】数式用!$AT$5:$AU$22,2,FALSE),"")</f>
        <v/>
      </c>
      <c r="Q270" s="1381"/>
      <c r="R270" s="1382"/>
      <c r="S270" s="1392" t="str">
        <f>IFERROR(VLOOKUP(K270,【参考】数式用!$A$5:$AB$27,MATCH(P270,【参考】数式用!$B$4:$AB$4,0)+1,0),"")</f>
        <v/>
      </c>
      <c r="T270" s="1413" t="s">
        <v>2173</v>
      </c>
      <c r="U270" s="1415"/>
      <c r="V270" s="1457" t="str">
        <f>IFERROR(VLOOKUP(K270,【参考】数式用!$A$5:$AB$27,MATCH(U270,【参考】数式用!$B$4:$AB$4,0)+1,0),"")</f>
        <v/>
      </c>
      <c r="W270" s="1350" t="s">
        <v>19</v>
      </c>
      <c r="X270" s="1352">
        <v>6</v>
      </c>
      <c r="Y270" s="1354" t="s">
        <v>10</v>
      </c>
      <c r="Z270" s="1352">
        <v>6</v>
      </c>
      <c r="AA270" s="1354" t="s">
        <v>45</v>
      </c>
      <c r="AB270" s="1352">
        <v>7</v>
      </c>
      <c r="AC270" s="1354" t="s">
        <v>10</v>
      </c>
      <c r="AD270" s="1352">
        <v>3</v>
      </c>
      <c r="AE270" s="1354" t="s">
        <v>13</v>
      </c>
      <c r="AF270" s="1354" t="s">
        <v>24</v>
      </c>
      <c r="AG270" s="1354">
        <f>IF(X270&gt;=1,(AB270*12+AD270)-(X270*12+Z270)+1,"")</f>
        <v>10</v>
      </c>
      <c r="AH270" s="1360" t="s">
        <v>38</v>
      </c>
      <c r="AI270" s="1481" t="str">
        <f>IFERROR(ROUNDDOWN(ROUND(L270*V270,0)*M270,0)*AG270,"")</f>
        <v/>
      </c>
      <c r="AJ270" s="1483" t="str">
        <f>IFERROR(ROUNDDOWN(ROUND((L270*(V270-AX270)),0)*M270,0)*AG270,"")</f>
        <v/>
      </c>
      <c r="AK270" s="1485">
        <f>IFERROR(IF(OR(N270="",N271="",N273=""),0,ROUNDDOWN(ROUNDDOWN(ROUND(L270*VLOOKUP(K270,【参考】数式用!$A$5:$AB$27,MATCH("新加算Ⅳ",【参考】数式用!$B$4:$AB$4,0)+1,0),0)*M270,0)*AG270*0.5,0)),"")</f>
        <v>0</v>
      </c>
      <c r="AL270" s="1433"/>
      <c r="AM270" s="1487">
        <f>IFERROR(IF(OR(N273="ベア加算",N273=""),0, IF(OR(U270="新加算Ⅰ",U270="新加算Ⅱ",U270="新加算Ⅲ",U270="新加算Ⅳ"),ROUNDDOWN(ROUND(L270*VLOOKUP(K270,【参考】数式用!$A$5:$I$27,MATCH("ベア加算",【参考】数式用!$B$4:$I$4,0)+1,0),0)*M270,0)*AG270,0)),"")</f>
        <v>0</v>
      </c>
      <c r="AN270" s="1502"/>
      <c r="AO270" s="1364"/>
      <c r="AP270" s="1403"/>
      <c r="AQ270" s="1403"/>
      <c r="AR270" s="1489"/>
      <c r="AS270" s="1491"/>
      <c r="AT270" s="556" t="str">
        <f t="shared" si="201"/>
        <v/>
      </c>
      <c r="AU270" s="651"/>
      <c r="AV270" s="1493" t="str">
        <f>IF(K270&lt;&gt;"","V列に色付け","")</f>
        <v/>
      </c>
      <c r="AW270" s="652" t="str">
        <f>IF('別紙様式2-2（４・５月分）'!O206="","",'別紙様式2-2（４・５月分）'!O206)</f>
        <v/>
      </c>
      <c r="AX270" s="1507" t="str">
        <f>IF(SUM('別紙様式2-2（４・５月分）'!P206:P208)=0,"",SUM('別紙様式2-2（４・５月分）'!P206:P208))</f>
        <v/>
      </c>
      <c r="AY270" s="1506" t="str">
        <f>IFERROR(VLOOKUP(K270,【参考】数式用!$AJ$2:$AK$24,2,FALSE),"")</f>
        <v/>
      </c>
      <c r="AZ270" s="1321" t="s">
        <v>2098</v>
      </c>
      <c r="BA270" s="1321" t="s">
        <v>2099</v>
      </c>
      <c r="BB270" s="1321" t="s">
        <v>2100</v>
      </c>
      <c r="BC270" s="1321" t="s">
        <v>2101</v>
      </c>
      <c r="BD270" s="1321" t="str">
        <f>IF(AND(P270&lt;&gt;"新加算Ⅰ",P270&lt;&gt;"新加算Ⅱ",P270&lt;&gt;"新加算Ⅲ",P270&lt;&gt;"新加算Ⅳ"),P270,IF(Q272&lt;&gt;"",Q272,""))</f>
        <v/>
      </c>
      <c r="BE270" s="1321"/>
      <c r="BF270" s="1321" t="str">
        <f t="shared" ref="BF270" si="264">IF(AM270&lt;&gt;0,IF(AN270="○","入力済","未入力"),"")</f>
        <v/>
      </c>
      <c r="BG270" s="1321"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321" t="str">
        <f>IF(OR(U270="新加算Ⅴ（７）",U270="新加算Ⅴ（９）",U270="新加算Ⅴ（10）",U270="新加算Ⅴ（12）",U270="新加算Ⅴ（13）",U270="新加算Ⅴ（14）"),IF(OR(AP270="○",AP270="令和６年度中に満たす"),"入力済","未入力"),"")</f>
        <v/>
      </c>
      <c r="BI270" s="1321" t="str">
        <f>IF(OR(U270="新加算Ⅰ",U270="新加算Ⅱ",U270="新加算Ⅲ",U270="新加算Ⅴ（１）",U270="新加算Ⅴ（３）",U270="新加算Ⅴ（８）"),IF(OR(AQ270="○",AQ270="令和６年度中に満たす"),"入力済","未入力"),"")</f>
        <v/>
      </c>
      <c r="BJ270" s="1512"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493" t="str">
        <f>IF(OR(U270="新加算Ⅰ",U270="新加算Ⅴ（１）",U270="新加算Ⅴ（２）",U270="新加算Ⅴ（５）",U270="新加算Ⅴ（７）",U270="新加算Ⅴ（10）"),IF(AS270="","未入力","入力済"),"")</f>
        <v/>
      </c>
      <c r="BL270" s="543" t="str">
        <f>G270</f>
        <v/>
      </c>
    </row>
    <row r="271" spans="1:64" ht="15" customHeight="1">
      <c r="A271" s="1226"/>
      <c r="B271" s="1272"/>
      <c r="C271" s="1261"/>
      <c r="D271" s="1261"/>
      <c r="E271" s="1261"/>
      <c r="F271" s="1262"/>
      <c r="G271" s="1266"/>
      <c r="H271" s="1266"/>
      <c r="I271" s="1266"/>
      <c r="J271" s="1372"/>
      <c r="K271" s="1266"/>
      <c r="L271" s="1247"/>
      <c r="M271" s="1374"/>
      <c r="N271" s="1370" t="str">
        <f>IF('別紙様式2-2（４・５月分）'!Q207="","",'別紙様式2-2（４・５月分）'!Q207)</f>
        <v/>
      </c>
      <c r="O271" s="1367"/>
      <c r="P271" s="1383"/>
      <c r="Q271" s="1384"/>
      <c r="R271" s="1385"/>
      <c r="S271" s="1393"/>
      <c r="T271" s="1414"/>
      <c r="U271" s="1416"/>
      <c r="V271" s="1458"/>
      <c r="W271" s="1351"/>
      <c r="X271" s="1353"/>
      <c r="Y271" s="1355"/>
      <c r="Z271" s="1353"/>
      <c r="AA271" s="1355"/>
      <c r="AB271" s="1353"/>
      <c r="AC271" s="1355"/>
      <c r="AD271" s="1353"/>
      <c r="AE271" s="1355"/>
      <c r="AF271" s="1355"/>
      <c r="AG271" s="1355"/>
      <c r="AH271" s="1361"/>
      <c r="AI271" s="1482"/>
      <c r="AJ271" s="1484"/>
      <c r="AK271" s="1486"/>
      <c r="AL271" s="1434"/>
      <c r="AM271" s="1488"/>
      <c r="AN271" s="1503"/>
      <c r="AO271" s="1365"/>
      <c r="AP271" s="1404"/>
      <c r="AQ271" s="1404"/>
      <c r="AR271" s="1490"/>
      <c r="AS271" s="1492"/>
      <c r="AT271" s="1331" t="str">
        <f t="shared" si="203"/>
        <v/>
      </c>
      <c r="AU271" s="651"/>
      <c r="AV271" s="1493"/>
      <c r="AW271" s="1518" t="str">
        <f>IF('別紙様式2-2（４・５月分）'!O207="","",'別紙様式2-2（４・５月分）'!O207)</f>
        <v/>
      </c>
      <c r="AX271" s="1507"/>
      <c r="AY271" s="1506"/>
      <c r="AZ271" s="1321"/>
      <c r="BA271" s="1321"/>
      <c r="BB271" s="1321"/>
      <c r="BC271" s="1321"/>
      <c r="BD271" s="1321"/>
      <c r="BE271" s="1321"/>
      <c r="BF271" s="1321"/>
      <c r="BG271" s="1321"/>
      <c r="BH271" s="1321"/>
      <c r="BI271" s="1321"/>
      <c r="BJ271" s="1512"/>
      <c r="BK271" s="1493"/>
      <c r="BL271" s="543" t="str">
        <f>G270</f>
        <v/>
      </c>
    </row>
    <row r="272" spans="1:64" ht="15" customHeight="1">
      <c r="A272" s="1240"/>
      <c r="B272" s="1272"/>
      <c r="C272" s="1261"/>
      <c r="D272" s="1261"/>
      <c r="E272" s="1261"/>
      <c r="F272" s="1262"/>
      <c r="G272" s="1266"/>
      <c r="H272" s="1266"/>
      <c r="I272" s="1266"/>
      <c r="J272" s="1372"/>
      <c r="K272" s="1266"/>
      <c r="L272" s="1247"/>
      <c r="M272" s="1374"/>
      <c r="N272" s="1371"/>
      <c r="O272" s="1368"/>
      <c r="P272" s="1390" t="s">
        <v>2179</v>
      </c>
      <c r="Q272" s="1386" t="str">
        <f>IFERROR(VLOOKUP('別紙様式2-2（４・５月分）'!AR206,【参考】数式用!$AT$5:$AV$22,3,FALSE),"")</f>
        <v/>
      </c>
      <c r="R272" s="1388" t="s">
        <v>2190</v>
      </c>
      <c r="S272" s="1394" t="str">
        <f>IFERROR(VLOOKUP(K270,【参考】数式用!$A$5:$AB$27,MATCH(Q272,【参考】数式用!$B$4:$AB$4,0)+1,0),"")</f>
        <v/>
      </c>
      <c r="T272" s="1459" t="s">
        <v>217</v>
      </c>
      <c r="U272" s="1461"/>
      <c r="V272" s="1463" t="str">
        <f>IFERROR(VLOOKUP(K270,【参考】数式用!$A$5:$AB$27,MATCH(U272,【参考】数式用!$B$4:$AB$4,0)+1,0),"")</f>
        <v/>
      </c>
      <c r="W272" s="1465" t="s">
        <v>19</v>
      </c>
      <c r="X272" s="1508">
        <v>7</v>
      </c>
      <c r="Y272" s="1407" t="s">
        <v>10</v>
      </c>
      <c r="Z272" s="1508">
        <v>4</v>
      </c>
      <c r="AA272" s="1407" t="s">
        <v>45</v>
      </c>
      <c r="AB272" s="1508">
        <v>8</v>
      </c>
      <c r="AC272" s="1407" t="s">
        <v>10</v>
      </c>
      <c r="AD272" s="1508">
        <v>3</v>
      </c>
      <c r="AE272" s="1407" t="s">
        <v>13</v>
      </c>
      <c r="AF272" s="1407" t="s">
        <v>24</v>
      </c>
      <c r="AG272" s="1407">
        <f>IF(X272&gt;=1,(AB272*12+AD272)-(X272*12+Z272)+1,"")</f>
        <v>12</v>
      </c>
      <c r="AH272" s="1409" t="s">
        <v>38</v>
      </c>
      <c r="AI272" s="1496" t="str">
        <f>IFERROR(ROUNDDOWN(ROUND(L270*V272,0)*M270,0)*AG272,"")</f>
        <v/>
      </c>
      <c r="AJ272" s="1510" t="str">
        <f>IFERROR(ROUNDDOWN(ROUND((L270*(V272-AX270)),0)*M270,0)*AG272,"")</f>
        <v/>
      </c>
      <c r="AK272" s="1494">
        <f>IFERROR(IF(OR(N270="",N271="",N273=""),0,ROUNDDOWN(ROUNDDOWN(ROUND(L270*VLOOKUP(K270,【参考】数式用!$A$5:$AB$27,MATCH("新加算Ⅳ",【参考】数式用!$B$4:$AB$4,0)+1,0),0)*M270,0)*AG272*0.5,0)),"")</f>
        <v>0</v>
      </c>
      <c r="AL272" s="1435" t="str">
        <f t="shared" ref="AL272" si="265">IF(U272&lt;&gt;"","新規に適用","")</f>
        <v/>
      </c>
      <c r="AM272" s="1498">
        <f>IFERROR(IF(OR(N273="ベア加算",N273=""),0, IF(OR(U270="新加算Ⅰ",U270="新加算Ⅱ",U270="新加算Ⅲ",U270="新加算Ⅳ"),0,ROUNDDOWN(ROUND(L270*VLOOKUP(K270,【参考】数式用!$A$5:$I$27,MATCH("ベア加算",【参考】数式用!$B$4:$I$4,0)+1,0),0)*M270,0)*AG272)),"")</f>
        <v>0</v>
      </c>
      <c r="AN272" s="1356" t="str">
        <f t="shared" ref="AN272" si="266">IF(AM272=0,"",IF(AND(U272&lt;&gt;"",AN270=""),"新規に適用",IF(AND(U272&lt;&gt;"",AN270&lt;&gt;""),"継続で適用","")))</f>
        <v/>
      </c>
      <c r="AO272" s="1356" t="str">
        <f>IF(AND(U272&lt;&gt;"",AO270=""),"新規に適用",IF(AND(U272&lt;&gt;"",AO270&lt;&gt;""),"継続で適用",""))</f>
        <v/>
      </c>
      <c r="AP272" s="1358"/>
      <c r="AQ272" s="1356" t="str">
        <f>IF(AND(U272&lt;&gt;"",AQ270=""),"新規に適用",IF(AND(U272&lt;&gt;"",AQ270&lt;&gt;""),"継続で適用",""))</f>
        <v/>
      </c>
      <c r="AR272" s="1344" t="str">
        <f t="shared" si="226"/>
        <v/>
      </c>
      <c r="AS272" s="1356" t="str">
        <f>IF(AND(U272&lt;&gt;"",AS270=""),"新規に適用",IF(AND(U272&lt;&gt;"",AS270&lt;&gt;""),"継続で適用",""))</f>
        <v/>
      </c>
      <c r="AT272" s="1331"/>
      <c r="AU272" s="651"/>
      <c r="AV272" s="1493" t="str">
        <f>IF(K270&lt;&gt;"","V列に色付け","")</f>
        <v/>
      </c>
      <c r="AW272" s="1518"/>
      <c r="AX272" s="1507"/>
      <c r="AY272" s="163"/>
      <c r="AZ272" s="163"/>
      <c r="BA272" s="163"/>
      <c r="BB272" s="163"/>
      <c r="BC272" s="163"/>
      <c r="BD272" s="163"/>
      <c r="BE272" s="163"/>
      <c r="BF272" s="163"/>
      <c r="BG272" s="163"/>
      <c r="BH272" s="163"/>
      <c r="BI272" s="163"/>
      <c r="BJ272" s="163"/>
      <c r="BK272" s="163"/>
      <c r="BL272" s="543" t="str">
        <f>G270</f>
        <v/>
      </c>
    </row>
    <row r="273" spans="1:64" ht="30" customHeight="1" thickBot="1">
      <c r="A273" s="1227"/>
      <c r="B273" s="1376"/>
      <c r="C273" s="1377"/>
      <c r="D273" s="1377"/>
      <c r="E273" s="1377"/>
      <c r="F273" s="1378"/>
      <c r="G273" s="1267"/>
      <c r="H273" s="1267"/>
      <c r="I273" s="1267"/>
      <c r="J273" s="1373"/>
      <c r="K273" s="1267"/>
      <c r="L273" s="1248"/>
      <c r="M273" s="1375"/>
      <c r="N273" s="650" t="str">
        <f>IF('別紙様式2-2（４・５月分）'!Q208="","",'別紙様式2-2（４・５月分）'!Q208)</f>
        <v/>
      </c>
      <c r="O273" s="1369"/>
      <c r="P273" s="1391"/>
      <c r="Q273" s="1387"/>
      <c r="R273" s="1389"/>
      <c r="S273" s="1395"/>
      <c r="T273" s="1460"/>
      <c r="U273" s="1462"/>
      <c r="V273" s="1464"/>
      <c r="W273" s="1466"/>
      <c r="X273" s="1509"/>
      <c r="Y273" s="1408"/>
      <c r="Z273" s="1509"/>
      <c r="AA273" s="1408"/>
      <c r="AB273" s="1509"/>
      <c r="AC273" s="1408"/>
      <c r="AD273" s="1509"/>
      <c r="AE273" s="1408"/>
      <c r="AF273" s="1408"/>
      <c r="AG273" s="1408"/>
      <c r="AH273" s="1410"/>
      <c r="AI273" s="1497"/>
      <c r="AJ273" s="1511"/>
      <c r="AK273" s="1495"/>
      <c r="AL273" s="1436"/>
      <c r="AM273" s="1499"/>
      <c r="AN273" s="1357"/>
      <c r="AO273" s="1357"/>
      <c r="AP273" s="1359"/>
      <c r="AQ273" s="1357"/>
      <c r="AR273" s="1345"/>
      <c r="AS273" s="1357"/>
      <c r="AT273" s="581" t="str">
        <f t="shared" ref="AT273" si="267">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51"/>
      <c r="AV273" s="1493"/>
      <c r="AW273" s="652" t="str">
        <f>IF('別紙様式2-2（４・５月分）'!O208="","",'別紙様式2-2（４・５月分）'!O208)</f>
        <v/>
      </c>
      <c r="AX273" s="1507"/>
      <c r="AY273" s="163"/>
      <c r="AZ273" s="163"/>
      <c r="BA273" s="163"/>
      <c r="BB273" s="163"/>
      <c r="BC273" s="163"/>
      <c r="BD273" s="163"/>
      <c r="BE273" s="163"/>
      <c r="BF273" s="163"/>
      <c r="BG273" s="163"/>
      <c r="BH273" s="163"/>
      <c r="BI273" s="163"/>
      <c r="BJ273" s="163"/>
      <c r="BK273" s="163"/>
      <c r="BL273" s="543" t="str">
        <f>G270</f>
        <v/>
      </c>
    </row>
    <row r="274" spans="1:64" ht="30" customHeight="1">
      <c r="A274" s="1241">
        <v>66</v>
      </c>
      <c r="B274" s="1271" t="str">
        <f>IF(基本情報入力シート!C119="","",基本情報入力シート!C119)</f>
        <v/>
      </c>
      <c r="C274" s="1259"/>
      <c r="D274" s="1259"/>
      <c r="E274" s="1259"/>
      <c r="F274" s="1260"/>
      <c r="G274" s="1265" t="str">
        <f>IF(基本情報入力シート!M119="","",基本情報入力シート!M119)</f>
        <v/>
      </c>
      <c r="H274" s="1265" t="str">
        <f>IF(基本情報入力シート!R119="","",基本情報入力シート!R119)</f>
        <v/>
      </c>
      <c r="I274" s="1265" t="str">
        <f>IF(基本情報入力シート!W119="","",基本情報入力シート!W119)</f>
        <v/>
      </c>
      <c r="J274" s="1379" t="str">
        <f>IF(基本情報入力シート!X119="","",基本情報入力シート!X119)</f>
        <v/>
      </c>
      <c r="K274" s="1265" t="str">
        <f>IF(基本情報入力シート!Y119="","",基本情報入力シート!Y119)</f>
        <v/>
      </c>
      <c r="L274" s="1246" t="str">
        <f>IF(基本情報入力シート!AB119="","",基本情報入力シート!AB119)</f>
        <v/>
      </c>
      <c r="M274" s="1249" t="str">
        <f>IF(基本情報入力シート!AC119="","",基本情報入力シート!AC119)</f>
        <v/>
      </c>
      <c r="N274" s="647" t="str">
        <f>IF('別紙様式2-2（４・５月分）'!Q209="","",'別紙様式2-2（４・５月分）'!Q209)</f>
        <v/>
      </c>
      <c r="O274" s="1366" t="str">
        <f>IF(SUM('別紙様式2-2（４・５月分）'!R209:R211)=0,"",SUM('別紙様式2-2（４・５月分）'!R209:R211))</f>
        <v/>
      </c>
      <c r="P274" s="1380" t="str">
        <f>IFERROR(VLOOKUP('別紙様式2-2（４・５月分）'!AR209,【参考】数式用!$AT$5:$AU$22,2,FALSE),"")</f>
        <v/>
      </c>
      <c r="Q274" s="1381"/>
      <c r="R274" s="1382"/>
      <c r="S274" s="1392" t="str">
        <f>IFERROR(VLOOKUP(K274,【参考】数式用!$A$5:$AB$27,MATCH(P274,【参考】数式用!$B$4:$AB$4,0)+1,0),"")</f>
        <v/>
      </c>
      <c r="T274" s="1413" t="s">
        <v>2173</v>
      </c>
      <c r="U274" s="1415"/>
      <c r="V274" s="1457" t="str">
        <f>IFERROR(VLOOKUP(K274,【参考】数式用!$A$5:$AB$27,MATCH(U274,【参考】数式用!$B$4:$AB$4,0)+1,0),"")</f>
        <v/>
      </c>
      <c r="W274" s="1350" t="s">
        <v>19</v>
      </c>
      <c r="X274" s="1352">
        <v>6</v>
      </c>
      <c r="Y274" s="1354" t="s">
        <v>10</v>
      </c>
      <c r="Z274" s="1352">
        <v>6</v>
      </c>
      <c r="AA274" s="1354" t="s">
        <v>45</v>
      </c>
      <c r="AB274" s="1352">
        <v>7</v>
      </c>
      <c r="AC274" s="1354" t="s">
        <v>10</v>
      </c>
      <c r="AD274" s="1352">
        <v>3</v>
      </c>
      <c r="AE274" s="1354" t="s">
        <v>13</v>
      </c>
      <c r="AF274" s="1354" t="s">
        <v>24</v>
      </c>
      <c r="AG274" s="1354">
        <f>IF(X274&gt;=1,(AB274*12+AD274)-(X274*12+Z274)+1,"")</f>
        <v>10</v>
      </c>
      <c r="AH274" s="1360" t="s">
        <v>38</v>
      </c>
      <c r="AI274" s="1481" t="str">
        <f>IFERROR(ROUNDDOWN(ROUND(L274*V274,0)*M274,0)*AG274,"")</f>
        <v/>
      </c>
      <c r="AJ274" s="1483" t="str">
        <f>IFERROR(ROUNDDOWN(ROUND((L274*(V274-AX274)),0)*M274,0)*AG274,"")</f>
        <v/>
      </c>
      <c r="AK274" s="1485">
        <f>IFERROR(IF(OR(N274="",N275="",N277=""),0,ROUNDDOWN(ROUNDDOWN(ROUND(L274*VLOOKUP(K274,【参考】数式用!$A$5:$AB$27,MATCH("新加算Ⅳ",【参考】数式用!$B$4:$AB$4,0)+1,0),0)*M274,0)*AG274*0.5,0)),"")</f>
        <v>0</v>
      </c>
      <c r="AL274" s="1433"/>
      <c r="AM274" s="1487">
        <f>IFERROR(IF(OR(N277="ベア加算",N277=""),0, IF(OR(U274="新加算Ⅰ",U274="新加算Ⅱ",U274="新加算Ⅲ",U274="新加算Ⅳ"),ROUNDDOWN(ROUND(L274*VLOOKUP(K274,【参考】数式用!$A$5:$I$27,MATCH("ベア加算",【参考】数式用!$B$4:$I$4,0)+1,0),0)*M274,0)*AG274,0)),"")</f>
        <v>0</v>
      </c>
      <c r="AN274" s="1502"/>
      <c r="AO274" s="1364"/>
      <c r="AP274" s="1403"/>
      <c r="AQ274" s="1403"/>
      <c r="AR274" s="1489"/>
      <c r="AS274" s="1491"/>
      <c r="AT274" s="556" t="str">
        <f t="shared" ref="AT274:AT334" si="268">IF(AV274="","",IF(V274&lt;O274,"！加算の要件上は問題ありませんが、令和６年４・５月と比較して令和６年６月に加算率が下がる計画になっています。",""))</f>
        <v/>
      </c>
      <c r="AU274" s="651"/>
      <c r="AV274" s="1493" t="str">
        <f>IF(K274&lt;&gt;"","V列に色付け","")</f>
        <v/>
      </c>
      <c r="AW274" s="652" t="str">
        <f>IF('別紙様式2-2（４・５月分）'!O209="","",'別紙様式2-2（４・５月分）'!O209)</f>
        <v/>
      </c>
      <c r="AX274" s="1507" t="str">
        <f>IF(SUM('別紙様式2-2（４・５月分）'!P209:P211)=0,"",SUM('別紙様式2-2（４・５月分）'!P209:P211))</f>
        <v/>
      </c>
      <c r="AY274" s="1506" t="str">
        <f>IFERROR(VLOOKUP(K274,【参考】数式用!$AJ$2:$AK$24,2,FALSE),"")</f>
        <v/>
      </c>
      <c r="AZ274" s="1321" t="s">
        <v>2098</v>
      </c>
      <c r="BA274" s="1321" t="s">
        <v>2099</v>
      </c>
      <c r="BB274" s="1321" t="s">
        <v>2100</v>
      </c>
      <c r="BC274" s="1321" t="s">
        <v>2101</v>
      </c>
      <c r="BD274" s="1321" t="str">
        <f>IF(AND(P274&lt;&gt;"新加算Ⅰ",P274&lt;&gt;"新加算Ⅱ",P274&lt;&gt;"新加算Ⅲ",P274&lt;&gt;"新加算Ⅳ"),P274,IF(Q276&lt;&gt;"",Q276,""))</f>
        <v/>
      </c>
      <c r="BE274" s="1321"/>
      <c r="BF274" s="1321" t="str">
        <f t="shared" ref="BF274" si="269">IF(AM274&lt;&gt;0,IF(AN274="○","入力済","未入力"),"")</f>
        <v/>
      </c>
      <c r="BG274" s="1321"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321" t="str">
        <f>IF(OR(U274="新加算Ⅴ（７）",U274="新加算Ⅴ（９）",U274="新加算Ⅴ（10）",U274="新加算Ⅴ（12）",U274="新加算Ⅴ（13）",U274="新加算Ⅴ（14）"),IF(OR(AP274="○",AP274="令和６年度中に満たす"),"入力済","未入力"),"")</f>
        <v/>
      </c>
      <c r="BI274" s="1321" t="str">
        <f>IF(OR(U274="新加算Ⅰ",U274="新加算Ⅱ",U274="新加算Ⅲ",U274="新加算Ⅴ（１）",U274="新加算Ⅴ（３）",U274="新加算Ⅴ（８）"),IF(OR(AQ274="○",AQ274="令和６年度中に満たす"),"入力済","未入力"),"")</f>
        <v/>
      </c>
      <c r="BJ274" s="1512"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493" t="str">
        <f>IF(OR(U274="新加算Ⅰ",U274="新加算Ⅴ（１）",U274="新加算Ⅴ（２）",U274="新加算Ⅴ（５）",U274="新加算Ⅴ（７）",U274="新加算Ⅴ（10）"),IF(AS274="","未入力","入力済"),"")</f>
        <v/>
      </c>
      <c r="BL274" s="543" t="str">
        <f>G274</f>
        <v/>
      </c>
    </row>
    <row r="275" spans="1:64" ht="15" customHeight="1">
      <c r="A275" s="1226"/>
      <c r="B275" s="1272"/>
      <c r="C275" s="1261"/>
      <c r="D275" s="1261"/>
      <c r="E275" s="1261"/>
      <c r="F275" s="1262"/>
      <c r="G275" s="1266"/>
      <c r="H275" s="1266"/>
      <c r="I275" s="1266"/>
      <c r="J275" s="1372"/>
      <c r="K275" s="1266"/>
      <c r="L275" s="1247"/>
      <c r="M275" s="1250"/>
      <c r="N275" s="1370" t="str">
        <f>IF('別紙様式2-2（４・５月分）'!Q210="","",'別紙様式2-2（４・５月分）'!Q210)</f>
        <v/>
      </c>
      <c r="O275" s="1367"/>
      <c r="P275" s="1383"/>
      <c r="Q275" s="1384"/>
      <c r="R275" s="1385"/>
      <c r="S275" s="1393"/>
      <c r="T275" s="1414"/>
      <c r="U275" s="1416"/>
      <c r="V275" s="1458"/>
      <c r="W275" s="1351"/>
      <c r="X275" s="1353"/>
      <c r="Y275" s="1355"/>
      <c r="Z275" s="1353"/>
      <c r="AA275" s="1355"/>
      <c r="AB275" s="1353"/>
      <c r="AC275" s="1355"/>
      <c r="AD275" s="1353"/>
      <c r="AE275" s="1355"/>
      <c r="AF275" s="1355"/>
      <c r="AG275" s="1355"/>
      <c r="AH275" s="1361"/>
      <c r="AI275" s="1482"/>
      <c r="AJ275" s="1484"/>
      <c r="AK275" s="1486"/>
      <c r="AL275" s="1434"/>
      <c r="AM275" s="1488"/>
      <c r="AN275" s="1503"/>
      <c r="AO275" s="1365"/>
      <c r="AP275" s="1404"/>
      <c r="AQ275" s="1404"/>
      <c r="AR275" s="1490"/>
      <c r="AS275" s="1492"/>
      <c r="AT275" s="1331" t="str">
        <f t="shared" ref="AT275:AT335" si="270">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51"/>
      <c r="AV275" s="1493"/>
      <c r="AW275" s="1518" t="str">
        <f>IF('別紙様式2-2（４・５月分）'!O210="","",'別紙様式2-2（４・５月分）'!O210)</f>
        <v/>
      </c>
      <c r="AX275" s="1507"/>
      <c r="AY275" s="1506"/>
      <c r="AZ275" s="1321"/>
      <c r="BA275" s="1321"/>
      <c r="BB275" s="1321"/>
      <c r="BC275" s="1321"/>
      <c r="BD275" s="1321"/>
      <c r="BE275" s="1321"/>
      <c r="BF275" s="1321"/>
      <c r="BG275" s="1321"/>
      <c r="BH275" s="1321"/>
      <c r="BI275" s="1321"/>
      <c r="BJ275" s="1512"/>
      <c r="BK275" s="1493"/>
      <c r="BL275" s="543" t="str">
        <f>G274</f>
        <v/>
      </c>
    </row>
    <row r="276" spans="1:64" ht="15" customHeight="1">
      <c r="A276" s="1240"/>
      <c r="B276" s="1272"/>
      <c r="C276" s="1261"/>
      <c r="D276" s="1261"/>
      <c r="E276" s="1261"/>
      <c r="F276" s="1262"/>
      <c r="G276" s="1266"/>
      <c r="H276" s="1266"/>
      <c r="I276" s="1266"/>
      <c r="J276" s="1372"/>
      <c r="K276" s="1266"/>
      <c r="L276" s="1247"/>
      <c r="M276" s="1250"/>
      <c r="N276" s="1371"/>
      <c r="O276" s="1368"/>
      <c r="P276" s="1390" t="s">
        <v>2179</v>
      </c>
      <c r="Q276" s="1386" t="str">
        <f>IFERROR(VLOOKUP('別紙様式2-2（４・５月分）'!AR209,【参考】数式用!$AT$5:$AV$22,3,FALSE),"")</f>
        <v/>
      </c>
      <c r="R276" s="1388" t="s">
        <v>2190</v>
      </c>
      <c r="S276" s="1396" t="str">
        <f>IFERROR(VLOOKUP(K274,【参考】数式用!$A$5:$AB$27,MATCH(Q276,【参考】数式用!$B$4:$AB$4,0)+1,0),"")</f>
        <v/>
      </c>
      <c r="T276" s="1459" t="s">
        <v>217</v>
      </c>
      <c r="U276" s="1461"/>
      <c r="V276" s="1463" t="str">
        <f>IFERROR(VLOOKUP(K274,【参考】数式用!$A$5:$AB$27,MATCH(U276,【参考】数式用!$B$4:$AB$4,0)+1,0),"")</f>
        <v/>
      </c>
      <c r="W276" s="1465" t="s">
        <v>19</v>
      </c>
      <c r="X276" s="1508">
        <v>7</v>
      </c>
      <c r="Y276" s="1407" t="s">
        <v>10</v>
      </c>
      <c r="Z276" s="1508">
        <v>4</v>
      </c>
      <c r="AA276" s="1407" t="s">
        <v>45</v>
      </c>
      <c r="AB276" s="1508">
        <v>8</v>
      </c>
      <c r="AC276" s="1407" t="s">
        <v>10</v>
      </c>
      <c r="AD276" s="1508">
        <v>3</v>
      </c>
      <c r="AE276" s="1407" t="s">
        <v>13</v>
      </c>
      <c r="AF276" s="1407" t="s">
        <v>24</v>
      </c>
      <c r="AG276" s="1407">
        <f>IF(X276&gt;=1,(AB276*12+AD276)-(X276*12+Z276)+1,"")</f>
        <v>12</v>
      </c>
      <c r="AH276" s="1409" t="s">
        <v>38</v>
      </c>
      <c r="AI276" s="1496" t="str">
        <f>IFERROR(ROUNDDOWN(ROUND(L274*V276,0)*M274,0)*AG276,"")</f>
        <v/>
      </c>
      <c r="AJ276" s="1510" t="str">
        <f>IFERROR(ROUNDDOWN(ROUND((L274*(V276-AX274)),0)*M274,0)*AG276,"")</f>
        <v/>
      </c>
      <c r="AK276" s="1494">
        <f>IFERROR(IF(OR(N274="",N275="",N277=""),0,ROUNDDOWN(ROUNDDOWN(ROUND(L274*VLOOKUP(K274,【参考】数式用!$A$5:$AB$27,MATCH("新加算Ⅳ",【参考】数式用!$B$4:$AB$4,0)+1,0),0)*M274,0)*AG276*0.5,0)),"")</f>
        <v>0</v>
      </c>
      <c r="AL276" s="1435" t="str">
        <f t="shared" ref="AL276" si="271">IF(U276&lt;&gt;"","新規に適用","")</f>
        <v/>
      </c>
      <c r="AM276" s="1498">
        <f>IFERROR(IF(OR(N277="ベア加算",N277=""),0, IF(OR(U274="新加算Ⅰ",U274="新加算Ⅱ",U274="新加算Ⅲ",U274="新加算Ⅳ"),0,ROUNDDOWN(ROUND(L274*VLOOKUP(K274,【参考】数式用!$A$5:$I$27,MATCH("ベア加算",【参考】数式用!$B$4:$I$4,0)+1,0),0)*M274,0)*AG276)),"")</f>
        <v>0</v>
      </c>
      <c r="AN276" s="1356" t="str">
        <f t="shared" ref="AN276" si="272">IF(AM276=0,"",IF(AND(U276&lt;&gt;"",AN274=""),"新規に適用",IF(AND(U276&lt;&gt;"",AN274&lt;&gt;""),"継続で適用","")))</f>
        <v/>
      </c>
      <c r="AO276" s="1356" t="str">
        <f>IF(AND(U276&lt;&gt;"",AO274=""),"新規に適用",IF(AND(U276&lt;&gt;"",AO274&lt;&gt;""),"継続で適用",""))</f>
        <v/>
      </c>
      <c r="AP276" s="1358"/>
      <c r="AQ276" s="1356" t="str">
        <f>IF(AND(U276&lt;&gt;"",AQ274=""),"新規に適用",IF(AND(U276&lt;&gt;"",AQ274&lt;&gt;""),"継続で適用",""))</f>
        <v/>
      </c>
      <c r="AR276" s="1344" t="str">
        <f t="shared" si="226"/>
        <v/>
      </c>
      <c r="AS276" s="1356" t="str">
        <f>IF(AND(U276&lt;&gt;"",AS274=""),"新規に適用",IF(AND(U276&lt;&gt;"",AS274&lt;&gt;""),"継続で適用",""))</f>
        <v/>
      </c>
      <c r="AT276" s="1331"/>
      <c r="AU276" s="651"/>
      <c r="AV276" s="1493" t="str">
        <f>IF(K274&lt;&gt;"","V列に色付け","")</f>
        <v/>
      </c>
      <c r="AW276" s="1518"/>
      <c r="AX276" s="1507"/>
      <c r="AY276" s="163"/>
      <c r="AZ276" s="163"/>
      <c r="BA276" s="163"/>
      <c r="BB276" s="163"/>
      <c r="BC276" s="163"/>
      <c r="BD276" s="163"/>
      <c r="BE276" s="163"/>
      <c r="BF276" s="163"/>
      <c r="BG276" s="163"/>
      <c r="BH276" s="163"/>
      <c r="BI276" s="163"/>
      <c r="BJ276" s="163"/>
      <c r="BK276" s="163"/>
      <c r="BL276" s="543" t="str">
        <f>G274</f>
        <v/>
      </c>
    </row>
    <row r="277" spans="1:64" ht="30" customHeight="1" thickBot="1">
      <c r="A277" s="1227"/>
      <c r="B277" s="1376"/>
      <c r="C277" s="1377"/>
      <c r="D277" s="1377"/>
      <c r="E277" s="1377"/>
      <c r="F277" s="1378"/>
      <c r="G277" s="1267"/>
      <c r="H277" s="1267"/>
      <c r="I277" s="1267"/>
      <c r="J277" s="1373"/>
      <c r="K277" s="1267"/>
      <c r="L277" s="1248"/>
      <c r="M277" s="1251"/>
      <c r="N277" s="650" t="str">
        <f>IF('別紙様式2-2（４・５月分）'!Q211="","",'別紙様式2-2（４・５月分）'!Q211)</f>
        <v/>
      </c>
      <c r="O277" s="1369"/>
      <c r="P277" s="1391"/>
      <c r="Q277" s="1387"/>
      <c r="R277" s="1389"/>
      <c r="S277" s="1395"/>
      <c r="T277" s="1460"/>
      <c r="U277" s="1462"/>
      <c r="V277" s="1464"/>
      <c r="W277" s="1466"/>
      <c r="X277" s="1509"/>
      <c r="Y277" s="1408"/>
      <c r="Z277" s="1509"/>
      <c r="AA277" s="1408"/>
      <c r="AB277" s="1509"/>
      <c r="AC277" s="1408"/>
      <c r="AD277" s="1509"/>
      <c r="AE277" s="1408"/>
      <c r="AF277" s="1408"/>
      <c r="AG277" s="1408"/>
      <c r="AH277" s="1410"/>
      <c r="AI277" s="1497"/>
      <c r="AJ277" s="1511"/>
      <c r="AK277" s="1495"/>
      <c r="AL277" s="1436"/>
      <c r="AM277" s="1499"/>
      <c r="AN277" s="1357"/>
      <c r="AO277" s="1357"/>
      <c r="AP277" s="1359"/>
      <c r="AQ277" s="1357"/>
      <c r="AR277" s="1345"/>
      <c r="AS277" s="1357"/>
      <c r="AT277" s="581" t="str">
        <f t="shared" ref="AT277" si="273">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51"/>
      <c r="AV277" s="1493"/>
      <c r="AW277" s="652" t="str">
        <f>IF('別紙様式2-2（４・５月分）'!O211="","",'別紙様式2-2（４・５月分）'!O211)</f>
        <v/>
      </c>
      <c r="AX277" s="1507"/>
      <c r="AY277" s="163"/>
      <c r="AZ277" s="163"/>
      <c r="BA277" s="163"/>
      <c r="BB277" s="163"/>
      <c r="BC277" s="163"/>
      <c r="BD277" s="163"/>
      <c r="BE277" s="163"/>
      <c r="BF277" s="163"/>
      <c r="BG277" s="163"/>
      <c r="BH277" s="163"/>
      <c r="BI277" s="163"/>
      <c r="BJ277" s="163"/>
      <c r="BK277" s="163"/>
      <c r="BL277" s="543" t="str">
        <f>G274</f>
        <v/>
      </c>
    </row>
    <row r="278" spans="1:64" ht="30" customHeight="1">
      <c r="A278" s="1225">
        <v>67</v>
      </c>
      <c r="B278" s="1272" t="str">
        <f>IF(基本情報入力シート!C120="","",基本情報入力シート!C120)</f>
        <v/>
      </c>
      <c r="C278" s="1261"/>
      <c r="D278" s="1261"/>
      <c r="E278" s="1261"/>
      <c r="F278" s="1262"/>
      <c r="G278" s="1266" t="str">
        <f>IF(基本情報入力シート!M120="","",基本情報入力シート!M120)</f>
        <v/>
      </c>
      <c r="H278" s="1266" t="str">
        <f>IF(基本情報入力シート!R120="","",基本情報入力シート!R120)</f>
        <v/>
      </c>
      <c r="I278" s="1266" t="str">
        <f>IF(基本情報入力シート!W120="","",基本情報入力シート!W120)</f>
        <v/>
      </c>
      <c r="J278" s="1372" t="str">
        <f>IF(基本情報入力シート!X120="","",基本情報入力シート!X120)</f>
        <v/>
      </c>
      <c r="K278" s="1266" t="str">
        <f>IF(基本情報入力シート!Y120="","",基本情報入力シート!Y120)</f>
        <v/>
      </c>
      <c r="L278" s="1247" t="str">
        <f>IF(基本情報入力シート!AB120="","",基本情報入力シート!AB120)</f>
        <v/>
      </c>
      <c r="M278" s="1374" t="str">
        <f>IF(基本情報入力シート!AC120="","",基本情報入力シート!AC120)</f>
        <v/>
      </c>
      <c r="N278" s="647" t="str">
        <f>IF('別紙様式2-2（４・５月分）'!Q212="","",'別紙様式2-2（４・５月分）'!Q212)</f>
        <v/>
      </c>
      <c r="O278" s="1366" t="str">
        <f>IF(SUM('別紙様式2-2（４・５月分）'!R212:R214)=0,"",SUM('別紙様式2-2（４・５月分）'!R212:R214))</f>
        <v/>
      </c>
      <c r="P278" s="1380" t="str">
        <f>IFERROR(VLOOKUP('別紙様式2-2（４・５月分）'!AR212,【参考】数式用!$AT$5:$AU$22,2,FALSE),"")</f>
        <v/>
      </c>
      <c r="Q278" s="1381"/>
      <c r="R278" s="1382"/>
      <c r="S278" s="1392" t="str">
        <f>IFERROR(VLOOKUP(K278,【参考】数式用!$A$5:$AB$27,MATCH(P278,【参考】数式用!$B$4:$AB$4,0)+1,0),"")</f>
        <v/>
      </c>
      <c r="T278" s="1413" t="s">
        <v>2173</v>
      </c>
      <c r="U278" s="1415"/>
      <c r="V278" s="1457" t="str">
        <f>IFERROR(VLOOKUP(K278,【参考】数式用!$A$5:$AB$27,MATCH(U278,【参考】数式用!$B$4:$AB$4,0)+1,0),"")</f>
        <v/>
      </c>
      <c r="W278" s="1350" t="s">
        <v>19</v>
      </c>
      <c r="X278" s="1352">
        <v>6</v>
      </c>
      <c r="Y278" s="1354" t="s">
        <v>10</v>
      </c>
      <c r="Z278" s="1352">
        <v>6</v>
      </c>
      <c r="AA278" s="1354" t="s">
        <v>45</v>
      </c>
      <c r="AB278" s="1352">
        <v>7</v>
      </c>
      <c r="AC278" s="1354" t="s">
        <v>10</v>
      </c>
      <c r="AD278" s="1352">
        <v>3</v>
      </c>
      <c r="AE278" s="1354" t="s">
        <v>13</v>
      </c>
      <c r="AF278" s="1354" t="s">
        <v>24</v>
      </c>
      <c r="AG278" s="1354">
        <f>IF(X278&gt;=1,(AB278*12+AD278)-(X278*12+Z278)+1,"")</f>
        <v>10</v>
      </c>
      <c r="AH278" s="1360" t="s">
        <v>38</v>
      </c>
      <c r="AI278" s="1481" t="str">
        <f>IFERROR(ROUNDDOWN(ROUND(L278*V278,0)*M278,0)*AG278,"")</f>
        <v/>
      </c>
      <c r="AJ278" s="1483" t="str">
        <f>IFERROR(ROUNDDOWN(ROUND((L278*(V278-AX278)),0)*M278,0)*AG278,"")</f>
        <v/>
      </c>
      <c r="AK278" s="1485">
        <f>IFERROR(IF(OR(N278="",N279="",N281=""),0,ROUNDDOWN(ROUNDDOWN(ROUND(L278*VLOOKUP(K278,【参考】数式用!$A$5:$AB$27,MATCH("新加算Ⅳ",【参考】数式用!$B$4:$AB$4,0)+1,0),0)*M278,0)*AG278*0.5,0)),"")</f>
        <v>0</v>
      </c>
      <c r="AL278" s="1433"/>
      <c r="AM278" s="1487">
        <f>IFERROR(IF(OR(N281="ベア加算",N281=""),0, IF(OR(U278="新加算Ⅰ",U278="新加算Ⅱ",U278="新加算Ⅲ",U278="新加算Ⅳ"),ROUNDDOWN(ROUND(L278*VLOOKUP(K278,【参考】数式用!$A$5:$I$27,MATCH("ベア加算",【参考】数式用!$B$4:$I$4,0)+1,0),0)*M278,0)*AG278,0)),"")</f>
        <v>0</v>
      </c>
      <c r="AN278" s="1502"/>
      <c r="AO278" s="1364"/>
      <c r="AP278" s="1403"/>
      <c r="AQ278" s="1403"/>
      <c r="AR278" s="1489"/>
      <c r="AS278" s="1491"/>
      <c r="AT278" s="556" t="str">
        <f t="shared" si="268"/>
        <v/>
      </c>
      <c r="AU278" s="651"/>
      <c r="AV278" s="1493" t="str">
        <f>IF(K278&lt;&gt;"","V列に色付け","")</f>
        <v/>
      </c>
      <c r="AW278" s="652" t="str">
        <f>IF('別紙様式2-2（４・５月分）'!O212="","",'別紙様式2-2（４・５月分）'!O212)</f>
        <v/>
      </c>
      <c r="AX278" s="1507" t="str">
        <f>IF(SUM('別紙様式2-2（４・５月分）'!P212:P214)=0,"",SUM('別紙様式2-2（４・５月分）'!P212:P214))</f>
        <v/>
      </c>
      <c r="AY278" s="1506" t="str">
        <f>IFERROR(VLOOKUP(K278,【参考】数式用!$AJ$2:$AK$24,2,FALSE),"")</f>
        <v/>
      </c>
      <c r="AZ278" s="1321" t="s">
        <v>2098</v>
      </c>
      <c r="BA278" s="1321" t="s">
        <v>2099</v>
      </c>
      <c r="BB278" s="1321" t="s">
        <v>2100</v>
      </c>
      <c r="BC278" s="1321" t="s">
        <v>2101</v>
      </c>
      <c r="BD278" s="1321" t="str">
        <f>IF(AND(P278&lt;&gt;"新加算Ⅰ",P278&lt;&gt;"新加算Ⅱ",P278&lt;&gt;"新加算Ⅲ",P278&lt;&gt;"新加算Ⅳ"),P278,IF(Q280&lt;&gt;"",Q280,""))</f>
        <v/>
      </c>
      <c r="BE278" s="1321"/>
      <c r="BF278" s="1321" t="str">
        <f t="shared" ref="BF278" si="274">IF(AM278&lt;&gt;0,IF(AN278="○","入力済","未入力"),"")</f>
        <v/>
      </c>
      <c r="BG278" s="1321"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321" t="str">
        <f>IF(OR(U278="新加算Ⅴ（７）",U278="新加算Ⅴ（９）",U278="新加算Ⅴ（10）",U278="新加算Ⅴ（12）",U278="新加算Ⅴ（13）",U278="新加算Ⅴ（14）"),IF(OR(AP278="○",AP278="令和６年度中に満たす"),"入力済","未入力"),"")</f>
        <v/>
      </c>
      <c r="BI278" s="1321" t="str">
        <f>IF(OR(U278="新加算Ⅰ",U278="新加算Ⅱ",U278="新加算Ⅲ",U278="新加算Ⅴ（１）",U278="新加算Ⅴ（３）",U278="新加算Ⅴ（８）"),IF(OR(AQ278="○",AQ278="令和６年度中に満たす"),"入力済","未入力"),"")</f>
        <v/>
      </c>
      <c r="BJ278" s="1512"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493" t="str">
        <f>IF(OR(U278="新加算Ⅰ",U278="新加算Ⅴ（１）",U278="新加算Ⅴ（２）",U278="新加算Ⅴ（５）",U278="新加算Ⅴ（７）",U278="新加算Ⅴ（10）"),IF(AS278="","未入力","入力済"),"")</f>
        <v/>
      </c>
      <c r="BL278" s="543" t="str">
        <f>G278</f>
        <v/>
      </c>
    </row>
    <row r="279" spans="1:64" ht="15" customHeight="1">
      <c r="A279" s="1226"/>
      <c r="B279" s="1272"/>
      <c r="C279" s="1261"/>
      <c r="D279" s="1261"/>
      <c r="E279" s="1261"/>
      <c r="F279" s="1262"/>
      <c r="G279" s="1266"/>
      <c r="H279" s="1266"/>
      <c r="I279" s="1266"/>
      <c r="J279" s="1372"/>
      <c r="K279" s="1266"/>
      <c r="L279" s="1247"/>
      <c r="M279" s="1374"/>
      <c r="N279" s="1370" t="str">
        <f>IF('別紙様式2-2（４・５月分）'!Q213="","",'別紙様式2-2（４・５月分）'!Q213)</f>
        <v/>
      </c>
      <c r="O279" s="1367"/>
      <c r="P279" s="1383"/>
      <c r="Q279" s="1384"/>
      <c r="R279" s="1385"/>
      <c r="S279" s="1393"/>
      <c r="T279" s="1414"/>
      <c r="U279" s="1416"/>
      <c r="V279" s="1458"/>
      <c r="W279" s="1351"/>
      <c r="X279" s="1353"/>
      <c r="Y279" s="1355"/>
      <c r="Z279" s="1353"/>
      <c r="AA279" s="1355"/>
      <c r="AB279" s="1353"/>
      <c r="AC279" s="1355"/>
      <c r="AD279" s="1353"/>
      <c r="AE279" s="1355"/>
      <c r="AF279" s="1355"/>
      <c r="AG279" s="1355"/>
      <c r="AH279" s="1361"/>
      <c r="AI279" s="1482"/>
      <c r="AJ279" s="1484"/>
      <c r="AK279" s="1486"/>
      <c r="AL279" s="1434"/>
      <c r="AM279" s="1488"/>
      <c r="AN279" s="1503"/>
      <c r="AO279" s="1365"/>
      <c r="AP279" s="1404"/>
      <c r="AQ279" s="1404"/>
      <c r="AR279" s="1490"/>
      <c r="AS279" s="1492"/>
      <c r="AT279" s="1331" t="str">
        <f t="shared" si="270"/>
        <v/>
      </c>
      <c r="AU279" s="651"/>
      <c r="AV279" s="1493"/>
      <c r="AW279" s="1518" t="str">
        <f>IF('別紙様式2-2（４・５月分）'!O213="","",'別紙様式2-2（４・５月分）'!O213)</f>
        <v/>
      </c>
      <c r="AX279" s="1507"/>
      <c r="AY279" s="1506"/>
      <c r="AZ279" s="1321"/>
      <c r="BA279" s="1321"/>
      <c r="BB279" s="1321"/>
      <c r="BC279" s="1321"/>
      <c r="BD279" s="1321"/>
      <c r="BE279" s="1321"/>
      <c r="BF279" s="1321"/>
      <c r="BG279" s="1321"/>
      <c r="BH279" s="1321"/>
      <c r="BI279" s="1321"/>
      <c r="BJ279" s="1512"/>
      <c r="BK279" s="1493"/>
      <c r="BL279" s="543" t="str">
        <f>G278</f>
        <v/>
      </c>
    </row>
    <row r="280" spans="1:64" ht="15" customHeight="1">
      <c r="A280" s="1240"/>
      <c r="B280" s="1272"/>
      <c r="C280" s="1261"/>
      <c r="D280" s="1261"/>
      <c r="E280" s="1261"/>
      <c r="F280" s="1262"/>
      <c r="G280" s="1266"/>
      <c r="H280" s="1266"/>
      <c r="I280" s="1266"/>
      <c r="J280" s="1372"/>
      <c r="K280" s="1266"/>
      <c r="L280" s="1247"/>
      <c r="M280" s="1374"/>
      <c r="N280" s="1371"/>
      <c r="O280" s="1368"/>
      <c r="P280" s="1390" t="s">
        <v>2179</v>
      </c>
      <c r="Q280" s="1386" t="str">
        <f>IFERROR(VLOOKUP('別紙様式2-2（４・５月分）'!AR212,【参考】数式用!$AT$5:$AV$22,3,FALSE),"")</f>
        <v/>
      </c>
      <c r="R280" s="1388" t="s">
        <v>2190</v>
      </c>
      <c r="S280" s="1394" t="str">
        <f>IFERROR(VLOOKUP(K278,【参考】数式用!$A$5:$AB$27,MATCH(Q280,【参考】数式用!$B$4:$AB$4,0)+1,0),"")</f>
        <v/>
      </c>
      <c r="T280" s="1459" t="s">
        <v>217</v>
      </c>
      <c r="U280" s="1461"/>
      <c r="V280" s="1463" t="str">
        <f>IFERROR(VLOOKUP(K278,【参考】数式用!$A$5:$AB$27,MATCH(U280,【参考】数式用!$B$4:$AB$4,0)+1,0),"")</f>
        <v/>
      </c>
      <c r="W280" s="1465" t="s">
        <v>19</v>
      </c>
      <c r="X280" s="1508">
        <v>7</v>
      </c>
      <c r="Y280" s="1407" t="s">
        <v>10</v>
      </c>
      <c r="Z280" s="1508">
        <v>4</v>
      </c>
      <c r="AA280" s="1407" t="s">
        <v>45</v>
      </c>
      <c r="AB280" s="1508">
        <v>8</v>
      </c>
      <c r="AC280" s="1407" t="s">
        <v>10</v>
      </c>
      <c r="AD280" s="1508">
        <v>3</v>
      </c>
      <c r="AE280" s="1407" t="s">
        <v>13</v>
      </c>
      <c r="AF280" s="1407" t="s">
        <v>24</v>
      </c>
      <c r="AG280" s="1407">
        <f>IF(X280&gt;=1,(AB280*12+AD280)-(X280*12+Z280)+1,"")</f>
        <v>12</v>
      </c>
      <c r="AH280" s="1409" t="s">
        <v>38</v>
      </c>
      <c r="AI280" s="1496" t="str">
        <f>IFERROR(ROUNDDOWN(ROUND(L278*V280,0)*M278,0)*AG280,"")</f>
        <v/>
      </c>
      <c r="AJ280" s="1510" t="str">
        <f>IFERROR(ROUNDDOWN(ROUND((L278*(V280-AX278)),0)*M278,0)*AG280,"")</f>
        <v/>
      </c>
      <c r="AK280" s="1494">
        <f>IFERROR(IF(OR(N278="",N279="",N281=""),0,ROUNDDOWN(ROUNDDOWN(ROUND(L278*VLOOKUP(K278,【参考】数式用!$A$5:$AB$27,MATCH("新加算Ⅳ",【参考】数式用!$B$4:$AB$4,0)+1,0),0)*M278,0)*AG280*0.5,0)),"")</f>
        <v>0</v>
      </c>
      <c r="AL280" s="1435" t="str">
        <f t="shared" ref="AL280" si="275">IF(U280&lt;&gt;"","新規に適用","")</f>
        <v/>
      </c>
      <c r="AM280" s="1498">
        <f>IFERROR(IF(OR(N281="ベア加算",N281=""),0, IF(OR(U278="新加算Ⅰ",U278="新加算Ⅱ",U278="新加算Ⅲ",U278="新加算Ⅳ"),0,ROUNDDOWN(ROUND(L278*VLOOKUP(K278,【参考】数式用!$A$5:$I$27,MATCH("ベア加算",【参考】数式用!$B$4:$I$4,0)+1,0),0)*M278,0)*AG280)),"")</f>
        <v>0</v>
      </c>
      <c r="AN280" s="1356" t="str">
        <f t="shared" ref="AN280" si="276">IF(AM280=0,"",IF(AND(U280&lt;&gt;"",AN278=""),"新規に適用",IF(AND(U280&lt;&gt;"",AN278&lt;&gt;""),"継続で適用","")))</f>
        <v/>
      </c>
      <c r="AO280" s="1356" t="str">
        <f>IF(AND(U280&lt;&gt;"",AO278=""),"新規に適用",IF(AND(U280&lt;&gt;"",AO278&lt;&gt;""),"継続で適用",""))</f>
        <v/>
      </c>
      <c r="AP280" s="1358"/>
      <c r="AQ280" s="1356" t="str">
        <f>IF(AND(U280&lt;&gt;"",AQ278=""),"新規に適用",IF(AND(U280&lt;&gt;"",AQ278&lt;&gt;""),"継続で適用",""))</f>
        <v/>
      </c>
      <c r="AR280" s="1344" t="str">
        <f t="shared" si="226"/>
        <v/>
      </c>
      <c r="AS280" s="1356" t="str">
        <f>IF(AND(U280&lt;&gt;"",AS278=""),"新規に適用",IF(AND(U280&lt;&gt;"",AS278&lt;&gt;""),"継続で適用",""))</f>
        <v/>
      </c>
      <c r="AT280" s="1331"/>
      <c r="AU280" s="651"/>
      <c r="AV280" s="1493" t="str">
        <f>IF(K278&lt;&gt;"","V列に色付け","")</f>
        <v/>
      </c>
      <c r="AW280" s="1518"/>
      <c r="AX280" s="1507"/>
      <c r="AY280" s="163"/>
      <c r="AZ280" s="163"/>
      <c r="BA280" s="163"/>
      <c r="BB280" s="163"/>
      <c r="BC280" s="163"/>
      <c r="BD280" s="163"/>
      <c r="BE280" s="163"/>
      <c r="BF280" s="163"/>
      <c r="BG280" s="163"/>
      <c r="BH280" s="163"/>
      <c r="BI280" s="163"/>
      <c r="BJ280" s="163"/>
      <c r="BK280" s="163"/>
      <c r="BL280" s="543" t="str">
        <f>G278</f>
        <v/>
      </c>
    </row>
    <row r="281" spans="1:64" ht="30" customHeight="1" thickBot="1">
      <c r="A281" s="1227"/>
      <c r="B281" s="1376"/>
      <c r="C281" s="1377"/>
      <c r="D281" s="1377"/>
      <c r="E281" s="1377"/>
      <c r="F281" s="1378"/>
      <c r="G281" s="1267"/>
      <c r="H281" s="1267"/>
      <c r="I281" s="1267"/>
      <c r="J281" s="1373"/>
      <c r="K281" s="1267"/>
      <c r="L281" s="1248"/>
      <c r="M281" s="1375"/>
      <c r="N281" s="650" t="str">
        <f>IF('別紙様式2-2（４・５月分）'!Q214="","",'別紙様式2-2（４・５月分）'!Q214)</f>
        <v/>
      </c>
      <c r="O281" s="1369"/>
      <c r="P281" s="1391"/>
      <c r="Q281" s="1387"/>
      <c r="R281" s="1389"/>
      <c r="S281" s="1395"/>
      <c r="T281" s="1460"/>
      <c r="U281" s="1462"/>
      <c r="V281" s="1464"/>
      <c r="W281" s="1466"/>
      <c r="X281" s="1509"/>
      <c r="Y281" s="1408"/>
      <c r="Z281" s="1509"/>
      <c r="AA281" s="1408"/>
      <c r="AB281" s="1509"/>
      <c r="AC281" s="1408"/>
      <c r="AD281" s="1509"/>
      <c r="AE281" s="1408"/>
      <c r="AF281" s="1408"/>
      <c r="AG281" s="1408"/>
      <c r="AH281" s="1410"/>
      <c r="AI281" s="1497"/>
      <c r="AJ281" s="1511"/>
      <c r="AK281" s="1495"/>
      <c r="AL281" s="1436"/>
      <c r="AM281" s="1499"/>
      <c r="AN281" s="1357"/>
      <c r="AO281" s="1357"/>
      <c r="AP281" s="1359"/>
      <c r="AQ281" s="1357"/>
      <c r="AR281" s="1345"/>
      <c r="AS281" s="1357"/>
      <c r="AT281" s="581" t="str">
        <f t="shared" ref="AT281" si="277">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51"/>
      <c r="AV281" s="1493"/>
      <c r="AW281" s="652" t="str">
        <f>IF('別紙様式2-2（４・５月分）'!O214="","",'別紙様式2-2（４・５月分）'!O214)</f>
        <v/>
      </c>
      <c r="AX281" s="1507"/>
      <c r="AY281" s="163"/>
      <c r="AZ281" s="163"/>
      <c r="BA281" s="163"/>
      <c r="BB281" s="163"/>
      <c r="BC281" s="163"/>
      <c r="BD281" s="163"/>
      <c r="BE281" s="163"/>
      <c r="BF281" s="163"/>
      <c r="BG281" s="163"/>
      <c r="BH281" s="163"/>
      <c r="BI281" s="163"/>
      <c r="BJ281" s="163"/>
      <c r="BK281" s="163"/>
      <c r="BL281" s="543" t="str">
        <f>G278</f>
        <v/>
      </c>
    </row>
    <row r="282" spans="1:64" ht="30" customHeight="1">
      <c r="A282" s="1241">
        <v>68</v>
      </c>
      <c r="B282" s="1271" t="str">
        <f>IF(基本情報入力シート!C121="","",基本情報入力シート!C121)</f>
        <v/>
      </c>
      <c r="C282" s="1259"/>
      <c r="D282" s="1259"/>
      <c r="E282" s="1259"/>
      <c r="F282" s="1260"/>
      <c r="G282" s="1265" t="str">
        <f>IF(基本情報入力シート!M121="","",基本情報入力シート!M121)</f>
        <v/>
      </c>
      <c r="H282" s="1265" t="str">
        <f>IF(基本情報入力シート!R121="","",基本情報入力シート!R121)</f>
        <v/>
      </c>
      <c r="I282" s="1265" t="str">
        <f>IF(基本情報入力シート!W121="","",基本情報入力シート!W121)</f>
        <v/>
      </c>
      <c r="J282" s="1379" t="str">
        <f>IF(基本情報入力シート!X121="","",基本情報入力シート!X121)</f>
        <v/>
      </c>
      <c r="K282" s="1265" t="str">
        <f>IF(基本情報入力シート!Y121="","",基本情報入力シート!Y121)</f>
        <v/>
      </c>
      <c r="L282" s="1246" t="str">
        <f>IF(基本情報入力シート!AB121="","",基本情報入力シート!AB121)</f>
        <v/>
      </c>
      <c r="M282" s="1249" t="str">
        <f>IF(基本情報入力シート!AC121="","",基本情報入力シート!AC121)</f>
        <v/>
      </c>
      <c r="N282" s="647" t="str">
        <f>IF('別紙様式2-2（４・５月分）'!Q215="","",'別紙様式2-2（４・５月分）'!Q215)</f>
        <v/>
      </c>
      <c r="O282" s="1366" t="str">
        <f>IF(SUM('別紙様式2-2（４・５月分）'!R215:R217)=0,"",SUM('別紙様式2-2（４・５月分）'!R215:R217))</f>
        <v/>
      </c>
      <c r="P282" s="1380" t="str">
        <f>IFERROR(VLOOKUP('別紙様式2-2（４・５月分）'!AR215,【参考】数式用!$AT$5:$AU$22,2,FALSE),"")</f>
        <v/>
      </c>
      <c r="Q282" s="1381"/>
      <c r="R282" s="1382"/>
      <c r="S282" s="1392" t="str">
        <f>IFERROR(VLOOKUP(K282,【参考】数式用!$A$5:$AB$27,MATCH(P282,【参考】数式用!$B$4:$AB$4,0)+1,0),"")</f>
        <v/>
      </c>
      <c r="T282" s="1413" t="s">
        <v>2173</v>
      </c>
      <c r="U282" s="1415"/>
      <c r="V282" s="1457" t="str">
        <f>IFERROR(VLOOKUP(K282,【参考】数式用!$A$5:$AB$27,MATCH(U282,【参考】数式用!$B$4:$AB$4,0)+1,0),"")</f>
        <v/>
      </c>
      <c r="W282" s="1350" t="s">
        <v>19</v>
      </c>
      <c r="X282" s="1352">
        <v>6</v>
      </c>
      <c r="Y282" s="1354" t="s">
        <v>10</v>
      </c>
      <c r="Z282" s="1352">
        <v>6</v>
      </c>
      <c r="AA282" s="1354" t="s">
        <v>45</v>
      </c>
      <c r="AB282" s="1352">
        <v>7</v>
      </c>
      <c r="AC282" s="1354" t="s">
        <v>10</v>
      </c>
      <c r="AD282" s="1352">
        <v>3</v>
      </c>
      <c r="AE282" s="1354" t="s">
        <v>13</v>
      </c>
      <c r="AF282" s="1354" t="s">
        <v>24</v>
      </c>
      <c r="AG282" s="1354">
        <f>IF(X282&gt;=1,(AB282*12+AD282)-(X282*12+Z282)+1,"")</f>
        <v>10</v>
      </c>
      <c r="AH282" s="1360" t="s">
        <v>38</v>
      </c>
      <c r="AI282" s="1481" t="str">
        <f>IFERROR(ROUNDDOWN(ROUND(L282*V282,0)*M282,0)*AG282,"")</f>
        <v/>
      </c>
      <c r="AJ282" s="1483" t="str">
        <f>IFERROR(ROUNDDOWN(ROUND((L282*(V282-AX282)),0)*M282,0)*AG282,"")</f>
        <v/>
      </c>
      <c r="AK282" s="1485">
        <f>IFERROR(IF(OR(N282="",N283="",N285=""),0,ROUNDDOWN(ROUNDDOWN(ROUND(L282*VLOOKUP(K282,【参考】数式用!$A$5:$AB$27,MATCH("新加算Ⅳ",【参考】数式用!$B$4:$AB$4,0)+1,0),0)*M282,0)*AG282*0.5,0)),"")</f>
        <v>0</v>
      </c>
      <c r="AL282" s="1433"/>
      <c r="AM282" s="1487">
        <f>IFERROR(IF(OR(N285="ベア加算",N285=""),0, IF(OR(U282="新加算Ⅰ",U282="新加算Ⅱ",U282="新加算Ⅲ",U282="新加算Ⅳ"),ROUNDDOWN(ROUND(L282*VLOOKUP(K282,【参考】数式用!$A$5:$I$27,MATCH("ベア加算",【参考】数式用!$B$4:$I$4,0)+1,0),0)*M282,0)*AG282,0)),"")</f>
        <v>0</v>
      </c>
      <c r="AN282" s="1502"/>
      <c r="AO282" s="1364"/>
      <c r="AP282" s="1403"/>
      <c r="AQ282" s="1403"/>
      <c r="AR282" s="1489"/>
      <c r="AS282" s="1491"/>
      <c r="AT282" s="556" t="str">
        <f t="shared" si="268"/>
        <v/>
      </c>
      <c r="AU282" s="651"/>
      <c r="AV282" s="1493" t="str">
        <f>IF(K282&lt;&gt;"","V列に色付け","")</f>
        <v/>
      </c>
      <c r="AW282" s="652" t="str">
        <f>IF('別紙様式2-2（４・５月分）'!O215="","",'別紙様式2-2（４・５月分）'!O215)</f>
        <v/>
      </c>
      <c r="AX282" s="1507" t="str">
        <f>IF(SUM('別紙様式2-2（４・５月分）'!P215:P217)=0,"",SUM('別紙様式2-2（４・５月分）'!P215:P217))</f>
        <v/>
      </c>
      <c r="AY282" s="1506" t="str">
        <f>IFERROR(VLOOKUP(K282,【参考】数式用!$AJ$2:$AK$24,2,FALSE),"")</f>
        <v/>
      </c>
      <c r="AZ282" s="1321" t="s">
        <v>2098</v>
      </c>
      <c r="BA282" s="1321" t="s">
        <v>2099</v>
      </c>
      <c r="BB282" s="1321" t="s">
        <v>2100</v>
      </c>
      <c r="BC282" s="1321" t="s">
        <v>2101</v>
      </c>
      <c r="BD282" s="1321" t="str">
        <f>IF(AND(P282&lt;&gt;"新加算Ⅰ",P282&lt;&gt;"新加算Ⅱ",P282&lt;&gt;"新加算Ⅲ",P282&lt;&gt;"新加算Ⅳ"),P282,IF(Q284&lt;&gt;"",Q284,""))</f>
        <v/>
      </c>
      <c r="BE282" s="1321"/>
      <c r="BF282" s="1321" t="str">
        <f t="shared" ref="BF282" si="278">IF(AM282&lt;&gt;0,IF(AN282="○","入力済","未入力"),"")</f>
        <v/>
      </c>
      <c r="BG282" s="1321"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321" t="str">
        <f>IF(OR(U282="新加算Ⅴ（７）",U282="新加算Ⅴ（９）",U282="新加算Ⅴ（10）",U282="新加算Ⅴ（12）",U282="新加算Ⅴ（13）",U282="新加算Ⅴ（14）"),IF(OR(AP282="○",AP282="令和６年度中に満たす"),"入力済","未入力"),"")</f>
        <v/>
      </c>
      <c r="BI282" s="1321" t="str">
        <f>IF(OR(U282="新加算Ⅰ",U282="新加算Ⅱ",U282="新加算Ⅲ",U282="新加算Ⅴ（１）",U282="新加算Ⅴ（３）",U282="新加算Ⅴ（８）"),IF(OR(AQ282="○",AQ282="令和６年度中に満たす"),"入力済","未入力"),"")</f>
        <v/>
      </c>
      <c r="BJ282" s="1512"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493" t="str">
        <f>IF(OR(U282="新加算Ⅰ",U282="新加算Ⅴ（１）",U282="新加算Ⅴ（２）",U282="新加算Ⅴ（５）",U282="新加算Ⅴ（７）",U282="新加算Ⅴ（10）"),IF(AS282="","未入力","入力済"),"")</f>
        <v/>
      </c>
      <c r="BL282" s="543" t="str">
        <f>G282</f>
        <v/>
      </c>
    </row>
    <row r="283" spans="1:64" ht="15" customHeight="1">
      <c r="A283" s="1226"/>
      <c r="B283" s="1272"/>
      <c r="C283" s="1261"/>
      <c r="D283" s="1261"/>
      <c r="E283" s="1261"/>
      <c r="F283" s="1262"/>
      <c r="G283" s="1266"/>
      <c r="H283" s="1266"/>
      <c r="I283" s="1266"/>
      <c r="J283" s="1372"/>
      <c r="K283" s="1266"/>
      <c r="L283" s="1247"/>
      <c r="M283" s="1250"/>
      <c r="N283" s="1370" t="str">
        <f>IF('別紙様式2-2（４・５月分）'!Q216="","",'別紙様式2-2（４・５月分）'!Q216)</f>
        <v/>
      </c>
      <c r="O283" s="1367"/>
      <c r="P283" s="1383"/>
      <c r="Q283" s="1384"/>
      <c r="R283" s="1385"/>
      <c r="S283" s="1393"/>
      <c r="T283" s="1414"/>
      <c r="U283" s="1416"/>
      <c r="V283" s="1458"/>
      <c r="W283" s="1351"/>
      <c r="X283" s="1353"/>
      <c r="Y283" s="1355"/>
      <c r="Z283" s="1353"/>
      <c r="AA283" s="1355"/>
      <c r="AB283" s="1353"/>
      <c r="AC283" s="1355"/>
      <c r="AD283" s="1353"/>
      <c r="AE283" s="1355"/>
      <c r="AF283" s="1355"/>
      <c r="AG283" s="1355"/>
      <c r="AH283" s="1361"/>
      <c r="AI283" s="1482"/>
      <c r="AJ283" s="1484"/>
      <c r="AK283" s="1486"/>
      <c r="AL283" s="1434"/>
      <c r="AM283" s="1488"/>
      <c r="AN283" s="1503"/>
      <c r="AO283" s="1365"/>
      <c r="AP283" s="1404"/>
      <c r="AQ283" s="1404"/>
      <c r="AR283" s="1490"/>
      <c r="AS283" s="1492"/>
      <c r="AT283" s="1331" t="str">
        <f t="shared" si="270"/>
        <v/>
      </c>
      <c r="AU283" s="651"/>
      <c r="AV283" s="1493"/>
      <c r="AW283" s="1518" t="str">
        <f>IF('別紙様式2-2（４・５月分）'!O216="","",'別紙様式2-2（４・５月分）'!O216)</f>
        <v/>
      </c>
      <c r="AX283" s="1507"/>
      <c r="AY283" s="1506"/>
      <c r="AZ283" s="1321"/>
      <c r="BA283" s="1321"/>
      <c r="BB283" s="1321"/>
      <c r="BC283" s="1321"/>
      <c r="BD283" s="1321"/>
      <c r="BE283" s="1321"/>
      <c r="BF283" s="1321"/>
      <c r="BG283" s="1321"/>
      <c r="BH283" s="1321"/>
      <c r="BI283" s="1321"/>
      <c r="BJ283" s="1512"/>
      <c r="BK283" s="1493"/>
      <c r="BL283" s="543" t="str">
        <f>G282</f>
        <v/>
      </c>
    </row>
    <row r="284" spans="1:64" ht="15" customHeight="1">
      <c r="A284" s="1240"/>
      <c r="B284" s="1272"/>
      <c r="C284" s="1261"/>
      <c r="D284" s="1261"/>
      <c r="E284" s="1261"/>
      <c r="F284" s="1262"/>
      <c r="G284" s="1266"/>
      <c r="H284" s="1266"/>
      <c r="I284" s="1266"/>
      <c r="J284" s="1372"/>
      <c r="K284" s="1266"/>
      <c r="L284" s="1247"/>
      <c r="M284" s="1250"/>
      <c r="N284" s="1371"/>
      <c r="O284" s="1368"/>
      <c r="P284" s="1390" t="s">
        <v>2179</v>
      </c>
      <c r="Q284" s="1386" t="str">
        <f>IFERROR(VLOOKUP('別紙様式2-2（４・５月分）'!AR215,【参考】数式用!$AT$5:$AV$22,3,FALSE),"")</f>
        <v/>
      </c>
      <c r="R284" s="1388" t="s">
        <v>2190</v>
      </c>
      <c r="S284" s="1396" t="str">
        <f>IFERROR(VLOOKUP(K282,【参考】数式用!$A$5:$AB$27,MATCH(Q284,【参考】数式用!$B$4:$AB$4,0)+1,0),"")</f>
        <v/>
      </c>
      <c r="T284" s="1459" t="s">
        <v>217</v>
      </c>
      <c r="U284" s="1461"/>
      <c r="V284" s="1463" t="str">
        <f>IFERROR(VLOOKUP(K282,【参考】数式用!$A$5:$AB$27,MATCH(U284,【参考】数式用!$B$4:$AB$4,0)+1,0),"")</f>
        <v/>
      </c>
      <c r="W284" s="1465" t="s">
        <v>19</v>
      </c>
      <c r="X284" s="1508">
        <v>7</v>
      </c>
      <c r="Y284" s="1407" t="s">
        <v>10</v>
      </c>
      <c r="Z284" s="1508">
        <v>4</v>
      </c>
      <c r="AA284" s="1407" t="s">
        <v>45</v>
      </c>
      <c r="AB284" s="1508">
        <v>8</v>
      </c>
      <c r="AC284" s="1407" t="s">
        <v>10</v>
      </c>
      <c r="AD284" s="1508">
        <v>3</v>
      </c>
      <c r="AE284" s="1407" t="s">
        <v>13</v>
      </c>
      <c r="AF284" s="1407" t="s">
        <v>24</v>
      </c>
      <c r="AG284" s="1407">
        <f>IF(X284&gt;=1,(AB284*12+AD284)-(X284*12+Z284)+1,"")</f>
        <v>12</v>
      </c>
      <c r="AH284" s="1409" t="s">
        <v>38</v>
      </c>
      <c r="AI284" s="1496" t="str">
        <f>IFERROR(ROUNDDOWN(ROUND(L282*V284,0)*M282,0)*AG284,"")</f>
        <v/>
      </c>
      <c r="AJ284" s="1510" t="str">
        <f>IFERROR(ROUNDDOWN(ROUND((L282*(V284-AX282)),0)*M282,0)*AG284,"")</f>
        <v/>
      </c>
      <c r="AK284" s="1494">
        <f>IFERROR(IF(OR(N282="",N283="",N285=""),0,ROUNDDOWN(ROUNDDOWN(ROUND(L282*VLOOKUP(K282,【参考】数式用!$A$5:$AB$27,MATCH("新加算Ⅳ",【参考】数式用!$B$4:$AB$4,0)+1,0),0)*M282,0)*AG284*0.5,0)),"")</f>
        <v>0</v>
      </c>
      <c r="AL284" s="1435" t="str">
        <f t="shared" ref="AL284" si="279">IF(U284&lt;&gt;"","新規に適用","")</f>
        <v/>
      </c>
      <c r="AM284" s="1498">
        <f>IFERROR(IF(OR(N285="ベア加算",N285=""),0, IF(OR(U282="新加算Ⅰ",U282="新加算Ⅱ",U282="新加算Ⅲ",U282="新加算Ⅳ"),0,ROUNDDOWN(ROUND(L282*VLOOKUP(K282,【参考】数式用!$A$5:$I$27,MATCH("ベア加算",【参考】数式用!$B$4:$I$4,0)+1,0),0)*M282,0)*AG284)),"")</f>
        <v>0</v>
      </c>
      <c r="AN284" s="1356" t="str">
        <f t="shared" ref="AN284" si="280">IF(AM284=0,"",IF(AND(U284&lt;&gt;"",AN282=""),"新規に適用",IF(AND(U284&lt;&gt;"",AN282&lt;&gt;""),"継続で適用","")))</f>
        <v/>
      </c>
      <c r="AO284" s="1356" t="str">
        <f>IF(AND(U284&lt;&gt;"",AO282=""),"新規に適用",IF(AND(U284&lt;&gt;"",AO282&lt;&gt;""),"継続で適用",""))</f>
        <v/>
      </c>
      <c r="AP284" s="1358"/>
      <c r="AQ284" s="1356" t="str">
        <f>IF(AND(U284&lt;&gt;"",AQ282=""),"新規に適用",IF(AND(U284&lt;&gt;"",AQ282&lt;&gt;""),"継続で適用",""))</f>
        <v/>
      </c>
      <c r="AR284" s="1344" t="str">
        <f t="shared" si="226"/>
        <v/>
      </c>
      <c r="AS284" s="1356" t="str">
        <f>IF(AND(U284&lt;&gt;"",AS282=""),"新規に適用",IF(AND(U284&lt;&gt;"",AS282&lt;&gt;""),"継続で適用",""))</f>
        <v/>
      </c>
      <c r="AT284" s="1331"/>
      <c r="AU284" s="651"/>
      <c r="AV284" s="1493" t="str">
        <f>IF(K282&lt;&gt;"","V列に色付け","")</f>
        <v/>
      </c>
      <c r="AW284" s="1518"/>
      <c r="AX284" s="1507"/>
      <c r="AY284" s="163"/>
      <c r="AZ284" s="163"/>
      <c r="BA284" s="163"/>
      <c r="BB284" s="163"/>
      <c r="BC284" s="163"/>
      <c r="BD284" s="163"/>
      <c r="BE284" s="163"/>
      <c r="BF284" s="163"/>
      <c r="BG284" s="163"/>
      <c r="BH284" s="163"/>
      <c r="BI284" s="163"/>
      <c r="BJ284" s="163"/>
      <c r="BK284" s="163"/>
      <c r="BL284" s="543" t="str">
        <f>G282</f>
        <v/>
      </c>
    </row>
    <row r="285" spans="1:64" ht="30" customHeight="1" thickBot="1">
      <c r="A285" s="1227"/>
      <c r="B285" s="1376"/>
      <c r="C285" s="1377"/>
      <c r="D285" s="1377"/>
      <c r="E285" s="1377"/>
      <c r="F285" s="1378"/>
      <c r="G285" s="1267"/>
      <c r="H285" s="1267"/>
      <c r="I285" s="1267"/>
      <c r="J285" s="1373"/>
      <c r="K285" s="1267"/>
      <c r="L285" s="1248"/>
      <c r="M285" s="1251"/>
      <c r="N285" s="650" t="str">
        <f>IF('別紙様式2-2（４・５月分）'!Q217="","",'別紙様式2-2（４・５月分）'!Q217)</f>
        <v/>
      </c>
      <c r="O285" s="1369"/>
      <c r="P285" s="1391"/>
      <c r="Q285" s="1387"/>
      <c r="R285" s="1389"/>
      <c r="S285" s="1395"/>
      <c r="T285" s="1460"/>
      <c r="U285" s="1462"/>
      <c r="V285" s="1464"/>
      <c r="W285" s="1466"/>
      <c r="X285" s="1509"/>
      <c r="Y285" s="1408"/>
      <c r="Z285" s="1509"/>
      <c r="AA285" s="1408"/>
      <c r="AB285" s="1509"/>
      <c r="AC285" s="1408"/>
      <c r="AD285" s="1509"/>
      <c r="AE285" s="1408"/>
      <c r="AF285" s="1408"/>
      <c r="AG285" s="1408"/>
      <c r="AH285" s="1410"/>
      <c r="AI285" s="1497"/>
      <c r="AJ285" s="1511"/>
      <c r="AK285" s="1495"/>
      <c r="AL285" s="1436"/>
      <c r="AM285" s="1499"/>
      <c r="AN285" s="1357"/>
      <c r="AO285" s="1357"/>
      <c r="AP285" s="1359"/>
      <c r="AQ285" s="1357"/>
      <c r="AR285" s="1345"/>
      <c r="AS285" s="1357"/>
      <c r="AT285" s="581" t="str">
        <f t="shared" ref="AT285" si="281">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51"/>
      <c r="AV285" s="1493"/>
      <c r="AW285" s="652" t="str">
        <f>IF('別紙様式2-2（４・５月分）'!O217="","",'別紙様式2-2（４・５月分）'!O217)</f>
        <v/>
      </c>
      <c r="AX285" s="1507"/>
      <c r="AY285" s="163"/>
      <c r="AZ285" s="163"/>
      <c r="BA285" s="163"/>
      <c r="BB285" s="163"/>
      <c r="BC285" s="163"/>
      <c r="BD285" s="163"/>
      <c r="BE285" s="163"/>
      <c r="BF285" s="163"/>
      <c r="BG285" s="163"/>
      <c r="BH285" s="163"/>
      <c r="BI285" s="163"/>
      <c r="BJ285" s="163"/>
      <c r="BK285" s="163"/>
      <c r="BL285" s="543" t="str">
        <f>G282</f>
        <v/>
      </c>
    </row>
    <row r="286" spans="1:64" ht="30" customHeight="1">
      <c r="A286" s="1225">
        <v>69</v>
      </c>
      <c r="B286" s="1272" t="str">
        <f>IF(基本情報入力シート!C122="","",基本情報入力シート!C122)</f>
        <v/>
      </c>
      <c r="C286" s="1261"/>
      <c r="D286" s="1261"/>
      <c r="E286" s="1261"/>
      <c r="F286" s="1262"/>
      <c r="G286" s="1266" t="str">
        <f>IF(基本情報入力シート!M122="","",基本情報入力シート!M122)</f>
        <v/>
      </c>
      <c r="H286" s="1266" t="str">
        <f>IF(基本情報入力シート!R122="","",基本情報入力シート!R122)</f>
        <v/>
      </c>
      <c r="I286" s="1266" t="str">
        <f>IF(基本情報入力シート!W122="","",基本情報入力シート!W122)</f>
        <v/>
      </c>
      <c r="J286" s="1372" t="str">
        <f>IF(基本情報入力シート!X122="","",基本情報入力シート!X122)</f>
        <v/>
      </c>
      <c r="K286" s="1266" t="str">
        <f>IF(基本情報入力シート!Y122="","",基本情報入力シート!Y122)</f>
        <v/>
      </c>
      <c r="L286" s="1247" t="str">
        <f>IF(基本情報入力シート!AB122="","",基本情報入力シート!AB122)</f>
        <v/>
      </c>
      <c r="M286" s="1374" t="str">
        <f>IF(基本情報入力シート!AC122="","",基本情報入力シート!AC122)</f>
        <v/>
      </c>
      <c r="N286" s="647" t="str">
        <f>IF('別紙様式2-2（４・５月分）'!Q218="","",'別紙様式2-2（４・５月分）'!Q218)</f>
        <v/>
      </c>
      <c r="O286" s="1366" t="str">
        <f>IF(SUM('別紙様式2-2（４・５月分）'!R218:R220)=0,"",SUM('別紙様式2-2（４・５月分）'!R218:R220))</f>
        <v/>
      </c>
      <c r="P286" s="1380" t="str">
        <f>IFERROR(VLOOKUP('別紙様式2-2（４・５月分）'!AR218,【参考】数式用!$AT$5:$AU$22,2,FALSE),"")</f>
        <v/>
      </c>
      <c r="Q286" s="1381"/>
      <c r="R286" s="1382"/>
      <c r="S286" s="1392" t="str">
        <f>IFERROR(VLOOKUP(K286,【参考】数式用!$A$5:$AB$27,MATCH(P286,【参考】数式用!$B$4:$AB$4,0)+1,0),"")</f>
        <v/>
      </c>
      <c r="T286" s="1413" t="s">
        <v>2173</v>
      </c>
      <c r="U286" s="1415"/>
      <c r="V286" s="1457" t="str">
        <f>IFERROR(VLOOKUP(K286,【参考】数式用!$A$5:$AB$27,MATCH(U286,【参考】数式用!$B$4:$AB$4,0)+1,0),"")</f>
        <v/>
      </c>
      <c r="W286" s="1350" t="s">
        <v>19</v>
      </c>
      <c r="X286" s="1352">
        <v>6</v>
      </c>
      <c r="Y286" s="1354" t="s">
        <v>10</v>
      </c>
      <c r="Z286" s="1352">
        <v>6</v>
      </c>
      <c r="AA286" s="1354" t="s">
        <v>45</v>
      </c>
      <c r="AB286" s="1352">
        <v>7</v>
      </c>
      <c r="AC286" s="1354" t="s">
        <v>10</v>
      </c>
      <c r="AD286" s="1352">
        <v>3</v>
      </c>
      <c r="AE286" s="1354" t="s">
        <v>13</v>
      </c>
      <c r="AF286" s="1354" t="s">
        <v>24</v>
      </c>
      <c r="AG286" s="1354">
        <f>IF(X286&gt;=1,(AB286*12+AD286)-(X286*12+Z286)+1,"")</f>
        <v>10</v>
      </c>
      <c r="AH286" s="1360" t="s">
        <v>38</v>
      </c>
      <c r="AI286" s="1481" t="str">
        <f>IFERROR(ROUNDDOWN(ROUND(L286*V286,0)*M286,0)*AG286,"")</f>
        <v/>
      </c>
      <c r="AJ286" s="1483" t="str">
        <f>IFERROR(ROUNDDOWN(ROUND((L286*(V286-AX286)),0)*M286,0)*AG286,"")</f>
        <v/>
      </c>
      <c r="AK286" s="1485">
        <f>IFERROR(IF(OR(N286="",N287="",N289=""),0,ROUNDDOWN(ROUNDDOWN(ROUND(L286*VLOOKUP(K286,【参考】数式用!$A$5:$AB$27,MATCH("新加算Ⅳ",【参考】数式用!$B$4:$AB$4,0)+1,0),0)*M286,0)*AG286*0.5,0)),"")</f>
        <v>0</v>
      </c>
      <c r="AL286" s="1433"/>
      <c r="AM286" s="1487">
        <f>IFERROR(IF(OR(N289="ベア加算",N289=""),0, IF(OR(U286="新加算Ⅰ",U286="新加算Ⅱ",U286="新加算Ⅲ",U286="新加算Ⅳ"),ROUNDDOWN(ROUND(L286*VLOOKUP(K286,【参考】数式用!$A$5:$I$27,MATCH("ベア加算",【参考】数式用!$B$4:$I$4,0)+1,0),0)*M286,0)*AG286,0)),"")</f>
        <v>0</v>
      </c>
      <c r="AN286" s="1502"/>
      <c r="AO286" s="1364"/>
      <c r="AP286" s="1403"/>
      <c r="AQ286" s="1403"/>
      <c r="AR286" s="1489"/>
      <c r="AS286" s="1491"/>
      <c r="AT286" s="556" t="str">
        <f t="shared" si="268"/>
        <v/>
      </c>
      <c r="AU286" s="651"/>
      <c r="AV286" s="1493" t="str">
        <f>IF(K286&lt;&gt;"","V列に色付け","")</f>
        <v/>
      </c>
      <c r="AW286" s="652" t="str">
        <f>IF('別紙様式2-2（４・５月分）'!O218="","",'別紙様式2-2（４・５月分）'!O218)</f>
        <v/>
      </c>
      <c r="AX286" s="1507" t="str">
        <f>IF(SUM('別紙様式2-2（４・５月分）'!P218:P220)=0,"",SUM('別紙様式2-2（４・５月分）'!P218:P220))</f>
        <v/>
      </c>
      <c r="AY286" s="1506" t="str">
        <f>IFERROR(VLOOKUP(K286,【参考】数式用!$AJ$2:$AK$24,2,FALSE),"")</f>
        <v/>
      </c>
      <c r="AZ286" s="1321" t="s">
        <v>2098</v>
      </c>
      <c r="BA286" s="1321" t="s">
        <v>2099</v>
      </c>
      <c r="BB286" s="1321" t="s">
        <v>2100</v>
      </c>
      <c r="BC286" s="1321" t="s">
        <v>2101</v>
      </c>
      <c r="BD286" s="1321" t="str">
        <f>IF(AND(P286&lt;&gt;"新加算Ⅰ",P286&lt;&gt;"新加算Ⅱ",P286&lt;&gt;"新加算Ⅲ",P286&lt;&gt;"新加算Ⅳ"),P286,IF(Q288&lt;&gt;"",Q288,""))</f>
        <v/>
      </c>
      <c r="BE286" s="1321"/>
      <c r="BF286" s="1321" t="str">
        <f t="shared" ref="BF286" si="282">IF(AM286&lt;&gt;0,IF(AN286="○","入力済","未入力"),"")</f>
        <v/>
      </c>
      <c r="BG286" s="1321"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321" t="str">
        <f>IF(OR(U286="新加算Ⅴ（７）",U286="新加算Ⅴ（９）",U286="新加算Ⅴ（10）",U286="新加算Ⅴ（12）",U286="新加算Ⅴ（13）",U286="新加算Ⅴ（14）"),IF(OR(AP286="○",AP286="令和６年度中に満たす"),"入力済","未入力"),"")</f>
        <v/>
      </c>
      <c r="BI286" s="1321" t="str">
        <f>IF(OR(U286="新加算Ⅰ",U286="新加算Ⅱ",U286="新加算Ⅲ",U286="新加算Ⅴ（１）",U286="新加算Ⅴ（３）",U286="新加算Ⅴ（８）"),IF(OR(AQ286="○",AQ286="令和６年度中に満たす"),"入力済","未入力"),"")</f>
        <v/>
      </c>
      <c r="BJ286" s="1512"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493" t="str">
        <f>IF(OR(U286="新加算Ⅰ",U286="新加算Ⅴ（１）",U286="新加算Ⅴ（２）",U286="新加算Ⅴ（５）",U286="新加算Ⅴ（７）",U286="新加算Ⅴ（10）"),IF(AS286="","未入力","入力済"),"")</f>
        <v/>
      </c>
      <c r="BL286" s="543" t="str">
        <f>G286</f>
        <v/>
      </c>
    </row>
    <row r="287" spans="1:64" ht="15" customHeight="1">
      <c r="A287" s="1226"/>
      <c r="B287" s="1272"/>
      <c r="C287" s="1261"/>
      <c r="D287" s="1261"/>
      <c r="E287" s="1261"/>
      <c r="F287" s="1262"/>
      <c r="G287" s="1266"/>
      <c r="H287" s="1266"/>
      <c r="I287" s="1266"/>
      <c r="J287" s="1372"/>
      <c r="K287" s="1266"/>
      <c r="L287" s="1247"/>
      <c r="M287" s="1374"/>
      <c r="N287" s="1370" t="str">
        <f>IF('別紙様式2-2（４・５月分）'!Q219="","",'別紙様式2-2（４・５月分）'!Q219)</f>
        <v/>
      </c>
      <c r="O287" s="1367"/>
      <c r="P287" s="1383"/>
      <c r="Q287" s="1384"/>
      <c r="R287" s="1385"/>
      <c r="S287" s="1393"/>
      <c r="T287" s="1414"/>
      <c r="U287" s="1416"/>
      <c r="V287" s="1458"/>
      <c r="W287" s="1351"/>
      <c r="X287" s="1353"/>
      <c r="Y287" s="1355"/>
      <c r="Z287" s="1353"/>
      <c r="AA287" s="1355"/>
      <c r="AB287" s="1353"/>
      <c r="AC287" s="1355"/>
      <c r="AD287" s="1353"/>
      <c r="AE287" s="1355"/>
      <c r="AF287" s="1355"/>
      <c r="AG287" s="1355"/>
      <c r="AH287" s="1361"/>
      <c r="AI287" s="1482"/>
      <c r="AJ287" s="1484"/>
      <c r="AK287" s="1486"/>
      <c r="AL287" s="1434"/>
      <c r="AM287" s="1488"/>
      <c r="AN287" s="1503"/>
      <c r="AO287" s="1365"/>
      <c r="AP287" s="1404"/>
      <c r="AQ287" s="1404"/>
      <c r="AR287" s="1490"/>
      <c r="AS287" s="1492"/>
      <c r="AT287" s="1331" t="str">
        <f t="shared" si="270"/>
        <v/>
      </c>
      <c r="AU287" s="651"/>
      <c r="AV287" s="1493"/>
      <c r="AW287" s="1518" t="str">
        <f>IF('別紙様式2-2（４・５月分）'!O219="","",'別紙様式2-2（４・５月分）'!O219)</f>
        <v/>
      </c>
      <c r="AX287" s="1507"/>
      <c r="AY287" s="1506"/>
      <c r="AZ287" s="1321"/>
      <c r="BA287" s="1321"/>
      <c r="BB287" s="1321"/>
      <c r="BC287" s="1321"/>
      <c r="BD287" s="1321"/>
      <c r="BE287" s="1321"/>
      <c r="BF287" s="1321"/>
      <c r="BG287" s="1321"/>
      <c r="BH287" s="1321"/>
      <c r="BI287" s="1321"/>
      <c r="BJ287" s="1512"/>
      <c r="BK287" s="1493"/>
      <c r="BL287" s="543" t="str">
        <f>G286</f>
        <v/>
      </c>
    </row>
    <row r="288" spans="1:64" ht="15" customHeight="1">
      <c r="A288" s="1240"/>
      <c r="B288" s="1272"/>
      <c r="C288" s="1261"/>
      <c r="D288" s="1261"/>
      <c r="E288" s="1261"/>
      <c r="F288" s="1262"/>
      <c r="G288" s="1266"/>
      <c r="H288" s="1266"/>
      <c r="I288" s="1266"/>
      <c r="J288" s="1372"/>
      <c r="K288" s="1266"/>
      <c r="L288" s="1247"/>
      <c r="M288" s="1374"/>
      <c r="N288" s="1371"/>
      <c r="O288" s="1368"/>
      <c r="P288" s="1390" t="s">
        <v>2179</v>
      </c>
      <c r="Q288" s="1386" t="str">
        <f>IFERROR(VLOOKUP('別紙様式2-2（４・５月分）'!AR218,【参考】数式用!$AT$5:$AV$22,3,FALSE),"")</f>
        <v/>
      </c>
      <c r="R288" s="1388" t="s">
        <v>2190</v>
      </c>
      <c r="S288" s="1394" t="str">
        <f>IFERROR(VLOOKUP(K286,【参考】数式用!$A$5:$AB$27,MATCH(Q288,【参考】数式用!$B$4:$AB$4,0)+1,0),"")</f>
        <v/>
      </c>
      <c r="T288" s="1459" t="s">
        <v>217</v>
      </c>
      <c r="U288" s="1461"/>
      <c r="V288" s="1463" t="str">
        <f>IFERROR(VLOOKUP(K286,【参考】数式用!$A$5:$AB$27,MATCH(U288,【参考】数式用!$B$4:$AB$4,0)+1,0),"")</f>
        <v/>
      </c>
      <c r="W288" s="1465" t="s">
        <v>19</v>
      </c>
      <c r="X288" s="1508">
        <v>7</v>
      </c>
      <c r="Y288" s="1407" t="s">
        <v>10</v>
      </c>
      <c r="Z288" s="1508">
        <v>4</v>
      </c>
      <c r="AA288" s="1407" t="s">
        <v>45</v>
      </c>
      <c r="AB288" s="1508">
        <v>8</v>
      </c>
      <c r="AC288" s="1407" t="s">
        <v>10</v>
      </c>
      <c r="AD288" s="1508">
        <v>3</v>
      </c>
      <c r="AE288" s="1407" t="s">
        <v>13</v>
      </c>
      <c r="AF288" s="1407" t="s">
        <v>24</v>
      </c>
      <c r="AG288" s="1407">
        <f>IF(X288&gt;=1,(AB288*12+AD288)-(X288*12+Z288)+1,"")</f>
        <v>12</v>
      </c>
      <c r="AH288" s="1409" t="s">
        <v>38</v>
      </c>
      <c r="AI288" s="1496" t="str">
        <f>IFERROR(ROUNDDOWN(ROUND(L286*V288,0)*M286,0)*AG288,"")</f>
        <v/>
      </c>
      <c r="AJ288" s="1510" t="str">
        <f>IFERROR(ROUNDDOWN(ROUND((L286*(V288-AX286)),0)*M286,0)*AG288,"")</f>
        <v/>
      </c>
      <c r="AK288" s="1494">
        <f>IFERROR(IF(OR(N286="",N287="",N289=""),0,ROUNDDOWN(ROUNDDOWN(ROUND(L286*VLOOKUP(K286,【参考】数式用!$A$5:$AB$27,MATCH("新加算Ⅳ",【参考】数式用!$B$4:$AB$4,0)+1,0),0)*M286,0)*AG288*0.5,0)),"")</f>
        <v>0</v>
      </c>
      <c r="AL288" s="1435" t="str">
        <f t="shared" ref="AL288" si="283">IF(U288&lt;&gt;"","新規に適用","")</f>
        <v/>
      </c>
      <c r="AM288" s="1498">
        <f>IFERROR(IF(OR(N289="ベア加算",N289=""),0, IF(OR(U286="新加算Ⅰ",U286="新加算Ⅱ",U286="新加算Ⅲ",U286="新加算Ⅳ"),0,ROUNDDOWN(ROUND(L286*VLOOKUP(K286,【参考】数式用!$A$5:$I$27,MATCH("ベア加算",【参考】数式用!$B$4:$I$4,0)+1,0),0)*M286,0)*AG288)),"")</f>
        <v>0</v>
      </c>
      <c r="AN288" s="1356" t="str">
        <f t="shared" ref="AN288" si="284">IF(AM288=0,"",IF(AND(U288&lt;&gt;"",AN286=""),"新規に適用",IF(AND(U288&lt;&gt;"",AN286&lt;&gt;""),"継続で適用","")))</f>
        <v/>
      </c>
      <c r="AO288" s="1356" t="str">
        <f>IF(AND(U288&lt;&gt;"",AO286=""),"新規に適用",IF(AND(U288&lt;&gt;"",AO286&lt;&gt;""),"継続で適用",""))</f>
        <v/>
      </c>
      <c r="AP288" s="1358"/>
      <c r="AQ288" s="1356" t="str">
        <f>IF(AND(U288&lt;&gt;"",AQ286=""),"新規に適用",IF(AND(U288&lt;&gt;"",AQ286&lt;&gt;""),"継続で適用",""))</f>
        <v/>
      </c>
      <c r="AR288" s="1344" t="str">
        <f t="shared" si="226"/>
        <v/>
      </c>
      <c r="AS288" s="1356" t="str">
        <f>IF(AND(U288&lt;&gt;"",AS286=""),"新規に適用",IF(AND(U288&lt;&gt;"",AS286&lt;&gt;""),"継続で適用",""))</f>
        <v/>
      </c>
      <c r="AT288" s="1331"/>
      <c r="AU288" s="651"/>
      <c r="AV288" s="1493" t="str">
        <f>IF(K286&lt;&gt;"","V列に色付け","")</f>
        <v/>
      </c>
      <c r="AW288" s="1518"/>
      <c r="AX288" s="1507"/>
      <c r="AY288" s="163"/>
      <c r="AZ288" s="163"/>
      <c r="BA288" s="163"/>
      <c r="BB288" s="163"/>
      <c r="BC288" s="163"/>
      <c r="BD288" s="163"/>
      <c r="BE288" s="163"/>
      <c r="BF288" s="163"/>
      <c r="BG288" s="163"/>
      <c r="BH288" s="163"/>
      <c r="BI288" s="163"/>
      <c r="BJ288" s="163"/>
      <c r="BK288" s="163"/>
      <c r="BL288" s="543" t="str">
        <f>G286</f>
        <v/>
      </c>
    </row>
    <row r="289" spans="1:64" ht="30" customHeight="1" thickBot="1">
      <c r="A289" s="1227"/>
      <c r="B289" s="1376"/>
      <c r="C289" s="1377"/>
      <c r="D289" s="1377"/>
      <c r="E289" s="1377"/>
      <c r="F289" s="1378"/>
      <c r="G289" s="1267"/>
      <c r="H289" s="1267"/>
      <c r="I289" s="1267"/>
      <c r="J289" s="1373"/>
      <c r="K289" s="1267"/>
      <c r="L289" s="1248"/>
      <c r="M289" s="1375"/>
      <c r="N289" s="650" t="str">
        <f>IF('別紙様式2-2（４・５月分）'!Q220="","",'別紙様式2-2（４・５月分）'!Q220)</f>
        <v/>
      </c>
      <c r="O289" s="1369"/>
      <c r="P289" s="1391"/>
      <c r="Q289" s="1387"/>
      <c r="R289" s="1389"/>
      <c r="S289" s="1395"/>
      <c r="T289" s="1460"/>
      <c r="U289" s="1462"/>
      <c r="V289" s="1464"/>
      <c r="W289" s="1466"/>
      <c r="X289" s="1509"/>
      <c r="Y289" s="1408"/>
      <c r="Z289" s="1509"/>
      <c r="AA289" s="1408"/>
      <c r="AB289" s="1509"/>
      <c r="AC289" s="1408"/>
      <c r="AD289" s="1509"/>
      <c r="AE289" s="1408"/>
      <c r="AF289" s="1408"/>
      <c r="AG289" s="1408"/>
      <c r="AH289" s="1410"/>
      <c r="AI289" s="1497"/>
      <c r="AJ289" s="1511"/>
      <c r="AK289" s="1495"/>
      <c r="AL289" s="1436"/>
      <c r="AM289" s="1499"/>
      <c r="AN289" s="1357"/>
      <c r="AO289" s="1357"/>
      <c r="AP289" s="1359"/>
      <c r="AQ289" s="1357"/>
      <c r="AR289" s="1345"/>
      <c r="AS289" s="1357"/>
      <c r="AT289" s="581" t="str">
        <f t="shared" ref="AT289" si="285">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51"/>
      <c r="AV289" s="1493"/>
      <c r="AW289" s="652" t="str">
        <f>IF('別紙様式2-2（４・５月分）'!O220="","",'別紙様式2-2（４・５月分）'!O220)</f>
        <v/>
      </c>
      <c r="AX289" s="1507"/>
      <c r="AY289" s="163"/>
      <c r="AZ289" s="163"/>
      <c r="BA289" s="163"/>
      <c r="BB289" s="163"/>
      <c r="BC289" s="163"/>
      <c r="BD289" s="163"/>
      <c r="BE289" s="163"/>
      <c r="BF289" s="163"/>
      <c r="BG289" s="163"/>
      <c r="BH289" s="163"/>
      <c r="BI289" s="163"/>
      <c r="BJ289" s="163"/>
      <c r="BK289" s="163"/>
      <c r="BL289" s="543" t="str">
        <f>G286</f>
        <v/>
      </c>
    </row>
    <row r="290" spans="1:64" ht="30" customHeight="1">
      <c r="A290" s="1241">
        <v>70</v>
      </c>
      <c r="B290" s="1271" t="str">
        <f>IF(基本情報入力シート!C123="","",基本情報入力シート!C123)</f>
        <v/>
      </c>
      <c r="C290" s="1259"/>
      <c r="D290" s="1259"/>
      <c r="E290" s="1259"/>
      <c r="F290" s="1260"/>
      <c r="G290" s="1265" t="str">
        <f>IF(基本情報入力シート!M123="","",基本情報入力シート!M123)</f>
        <v/>
      </c>
      <c r="H290" s="1265" t="str">
        <f>IF(基本情報入力シート!R123="","",基本情報入力シート!R123)</f>
        <v/>
      </c>
      <c r="I290" s="1265" t="str">
        <f>IF(基本情報入力シート!W123="","",基本情報入力シート!W123)</f>
        <v/>
      </c>
      <c r="J290" s="1379" t="str">
        <f>IF(基本情報入力シート!X123="","",基本情報入力シート!X123)</f>
        <v/>
      </c>
      <c r="K290" s="1265" t="str">
        <f>IF(基本情報入力シート!Y123="","",基本情報入力シート!Y123)</f>
        <v/>
      </c>
      <c r="L290" s="1246" t="str">
        <f>IF(基本情報入力シート!AB123="","",基本情報入力シート!AB123)</f>
        <v/>
      </c>
      <c r="M290" s="1249" t="str">
        <f>IF(基本情報入力シート!AC123="","",基本情報入力シート!AC123)</f>
        <v/>
      </c>
      <c r="N290" s="647" t="str">
        <f>IF('別紙様式2-2（４・５月分）'!Q221="","",'別紙様式2-2（４・５月分）'!Q221)</f>
        <v/>
      </c>
      <c r="O290" s="1366" t="str">
        <f>IF(SUM('別紙様式2-2（４・５月分）'!R221:R223)=0,"",SUM('別紙様式2-2（４・５月分）'!R221:R223))</f>
        <v/>
      </c>
      <c r="P290" s="1380" t="str">
        <f>IFERROR(VLOOKUP('別紙様式2-2（４・５月分）'!AR221,【参考】数式用!$AT$5:$AU$22,2,FALSE),"")</f>
        <v/>
      </c>
      <c r="Q290" s="1381"/>
      <c r="R290" s="1382"/>
      <c r="S290" s="1392" t="str">
        <f>IFERROR(VLOOKUP(K290,【参考】数式用!$A$5:$AB$27,MATCH(P290,【参考】数式用!$B$4:$AB$4,0)+1,0),"")</f>
        <v/>
      </c>
      <c r="T290" s="1413" t="s">
        <v>2173</v>
      </c>
      <c r="U290" s="1415"/>
      <c r="V290" s="1457" t="str">
        <f>IFERROR(VLOOKUP(K290,【参考】数式用!$A$5:$AB$27,MATCH(U290,【参考】数式用!$B$4:$AB$4,0)+1,0),"")</f>
        <v/>
      </c>
      <c r="W290" s="1350" t="s">
        <v>19</v>
      </c>
      <c r="X290" s="1352">
        <v>6</v>
      </c>
      <c r="Y290" s="1354" t="s">
        <v>10</v>
      </c>
      <c r="Z290" s="1352">
        <v>6</v>
      </c>
      <c r="AA290" s="1354" t="s">
        <v>45</v>
      </c>
      <c r="AB290" s="1352">
        <v>7</v>
      </c>
      <c r="AC290" s="1354" t="s">
        <v>10</v>
      </c>
      <c r="AD290" s="1352">
        <v>3</v>
      </c>
      <c r="AE290" s="1354" t="s">
        <v>13</v>
      </c>
      <c r="AF290" s="1354" t="s">
        <v>24</v>
      </c>
      <c r="AG290" s="1354">
        <f>IF(X290&gt;=1,(AB290*12+AD290)-(X290*12+Z290)+1,"")</f>
        <v>10</v>
      </c>
      <c r="AH290" s="1360" t="s">
        <v>38</v>
      </c>
      <c r="AI290" s="1481" t="str">
        <f>IFERROR(ROUNDDOWN(ROUND(L290*V290,0)*M290,0)*AG290,"")</f>
        <v/>
      </c>
      <c r="AJ290" s="1483" t="str">
        <f>IFERROR(ROUNDDOWN(ROUND((L290*(V290-AX290)),0)*M290,0)*AG290,"")</f>
        <v/>
      </c>
      <c r="AK290" s="1485">
        <f>IFERROR(IF(OR(N290="",N291="",N293=""),0,ROUNDDOWN(ROUNDDOWN(ROUND(L290*VLOOKUP(K290,【参考】数式用!$A$5:$AB$27,MATCH("新加算Ⅳ",【参考】数式用!$B$4:$AB$4,0)+1,0),0)*M290,0)*AG290*0.5,0)),"")</f>
        <v>0</v>
      </c>
      <c r="AL290" s="1433"/>
      <c r="AM290" s="1487">
        <f>IFERROR(IF(OR(N293="ベア加算",N293=""),0, IF(OR(U290="新加算Ⅰ",U290="新加算Ⅱ",U290="新加算Ⅲ",U290="新加算Ⅳ"),ROUNDDOWN(ROUND(L290*VLOOKUP(K290,【参考】数式用!$A$5:$I$27,MATCH("ベア加算",【参考】数式用!$B$4:$I$4,0)+1,0),0)*M290,0)*AG290,0)),"")</f>
        <v>0</v>
      </c>
      <c r="AN290" s="1502"/>
      <c r="AO290" s="1364"/>
      <c r="AP290" s="1403"/>
      <c r="AQ290" s="1403"/>
      <c r="AR290" s="1489"/>
      <c r="AS290" s="1491"/>
      <c r="AT290" s="556" t="str">
        <f t="shared" si="268"/>
        <v/>
      </c>
      <c r="AU290" s="651"/>
      <c r="AV290" s="1493" t="str">
        <f>IF(K290&lt;&gt;"","V列に色付け","")</f>
        <v/>
      </c>
      <c r="AW290" s="652" t="str">
        <f>IF('別紙様式2-2（４・５月分）'!O221="","",'別紙様式2-2（４・５月分）'!O221)</f>
        <v/>
      </c>
      <c r="AX290" s="1507" t="str">
        <f>IF(SUM('別紙様式2-2（４・５月分）'!P221:P223)=0,"",SUM('別紙様式2-2（４・５月分）'!P221:P223))</f>
        <v/>
      </c>
      <c r="AY290" s="1506" t="str">
        <f>IFERROR(VLOOKUP(K290,【参考】数式用!$AJ$2:$AK$24,2,FALSE),"")</f>
        <v/>
      </c>
      <c r="AZ290" s="1321" t="s">
        <v>2098</v>
      </c>
      <c r="BA290" s="1321" t="s">
        <v>2099</v>
      </c>
      <c r="BB290" s="1321" t="s">
        <v>2100</v>
      </c>
      <c r="BC290" s="1321" t="s">
        <v>2101</v>
      </c>
      <c r="BD290" s="1321" t="str">
        <f>IF(AND(P290&lt;&gt;"新加算Ⅰ",P290&lt;&gt;"新加算Ⅱ",P290&lt;&gt;"新加算Ⅲ",P290&lt;&gt;"新加算Ⅳ"),P290,IF(Q292&lt;&gt;"",Q292,""))</f>
        <v/>
      </c>
      <c r="BE290" s="1321"/>
      <c r="BF290" s="1321" t="str">
        <f t="shared" ref="BF290" si="286">IF(AM290&lt;&gt;0,IF(AN290="○","入力済","未入力"),"")</f>
        <v/>
      </c>
      <c r="BG290" s="1321"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321" t="str">
        <f>IF(OR(U290="新加算Ⅴ（７）",U290="新加算Ⅴ（９）",U290="新加算Ⅴ（10）",U290="新加算Ⅴ（12）",U290="新加算Ⅴ（13）",U290="新加算Ⅴ（14）"),IF(OR(AP290="○",AP290="令和６年度中に満たす"),"入力済","未入力"),"")</f>
        <v/>
      </c>
      <c r="BI290" s="1321" t="str">
        <f>IF(OR(U290="新加算Ⅰ",U290="新加算Ⅱ",U290="新加算Ⅲ",U290="新加算Ⅴ（１）",U290="新加算Ⅴ（３）",U290="新加算Ⅴ（８）"),IF(OR(AQ290="○",AQ290="令和６年度中に満たす"),"入力済","未入力"),"")</f>
        <v/>
      </c>
      <c r="BJ290" s="1512"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493" t="str">
        <f>IF(OR(U290="新加算Ⅰ",U290="新加算Ⅴ（１）",U290="新加算Ⅴ（２）",U290="新加算Ⅴ（５）",U290="新加算Ⅴ（７）",U290="新加算Ⅴ（10）"),IF(AS290="","未入力","入力済"),"")</f>
        <v/>
      </c>
      <c r="BL290" s="543" t="str">
        <f>G290</f>
        <v/>
      </c>
    </row>
    <row r="291" spans="1:64" ht="15" customHeight="1">
      <c r="A291" s="1226"/>
      <c r="B291" s="1272"/>
      <c r="C291" s="1261"/>
      <c r="D291" s="1261"/>
      <c r="E291" s="1261"/>
      <c r="F291" s="1262"/>
      <c r="G291" s="1266"/>
      <c r="H291" s="1266"/>
      <c r="I291" s="1266"/>
      <c r="J291" s="1372"/>
      <c r="K291" s="1266"/>
      <c r="L291" s="1247"/>
      <c r="M291" s="1250"/>
      <c r="N291" s="1370" t="str">
        <f>IF('別紙様式2-2（４・５月分）'!Q222="","",'別紙様式2-2（４・５月分）'!Q222)</f>
        <v/>
      </c>
      <c r="O291" s="1367"/>
      <c r="P291" s="1383"/>
      <c r="Q291" s="1384"/>
      <c r="R291" s="1385"/>
      <c r="S291" s="1393"/>
      <c r="T291" s="1414"/>
      <c r="U291" s="1416"/>
      <c r="V291" s="1458"/>
      <c r="W291" s="1351"/>
      <c r="X291" s="1353"/>
      <c r="Y291" s="1355"/>
      <c r="Z291" s="1353"/>
      <c r="AA291" s="1355"/>
      <c r="AB291" s="1353"/>
      <c r="AC291" s="1355"/>
      <c r="AD291" s="1353"/>
      <c r="AE291" s="1355"/>
      <c r="AF291" s="1355"/>
      <c r="AG291" s="1355"/>
      <c r="AH291" s="1361"/>
      <c r="AI291" s="1482"/>
      <c r="AJ291" s="1484"/>
      <c r="AK291" s="1486"/>
      <c r="AL291" s="1434"/>
      <c r="AM291" s="1488"/>
      <c r="AN291" s="1503"/>
      <c r="AO291" s="1365"/>
      <c r="AP291" s="1404"/>
      <c r="AQ291" s="1404"/>
      <c r="AR291" s="1490"/>
      <c r="AS291" s="1492"/>
      <c r="AT291" s="1331" t="str">
        <f t="shared" si="270"/>
        <v/>
      </c>
      <c r="AU291" s="651"/>
      <c r="AV291" s="1493"/>
      <c r="AW291" s="1518" t="str">
        <f>IF('別紙様式2-2（４・５月分）'!O222="","",'別紙様式2-2（４・５月分）'!O222)</f>
        <v/>
      </c>
      <c r="AX291" s="1507"/>
      <c r="AY291" s="1506"/>
      <c r="AZ291" s="1321"/>
      <c r="BA291" s="1321"/>
      <c r="BB291" s="1321"/>
      <c r="BC291" s="1321"/>
      <c r="BD291" s="1321"/>
      <c r="BE291" s="1321"/>
      <c r="BF291" s="1321"/>
      <c r="BG291" s="1321"/>
      <c r="BH291" s="1321"/>
      <c r="BI291" s="1321"/>
      <c r="BJ291" s="1512"/>
      <c r="BK291" s="1493"/>
      <c r="BL291" s="543" t="str">
        <f>G290</f>
        <v/>
      </c>
    </row>
    <row r="292" spans="1:64" ht="15" customHeight="1">
      <c r="A292" s="1240"/>
      <c r="B292" s="1272"/>
      <c r="C292" s="1261"/>
      <c r="D292" s="1261"/>
      <c r="E292" s="1261"/>
      <c r="F292" s="1262"/>
      <c r="G292" s="1266"/>
      <c r="H292" s="1266"/>
      <c r="I292" s="1266"/>
      <c r="J292" s="1372"/>
      <c r="K292" s="1266"/>
      <c r="L292" s="1247"/>
      <c r="M292" s="1250"/>
      <c r="N292" s="1371"/>
      <c r="O292" s="1368"/>
      <c r="P292" s="1390" t="s">
        <v>2179</v>
      </c>
      <c r="Q292" s="1386" t="str">
        <f>IFERROR(VLOOKUP('別紙様式2-2（４・５月分）'!AR221,【参考】数式用!$AT$5:$AV$22,3,FALSE),"")</f>
        <v/>
      </c>
      <c r="R292" s="1388" t="s">
        <v>2190</v>
      </c>
      <c r="S292" s="1396" t="str">
        <f>IFERROR(VLOOKUP(K290,【参考】数式用!$A$5:$AB$27,MATCH(Q292,【参考】数式用!$B$4:$AB$4,0)+1,0),"")</f>
        <v/>
      </c>
      <c r="T292" s="1459" t="s">
        <v>217</v>
      </c>
      <c r="U292" s="1461"/>
      <c r="V292" s="1463" t="str">
        <f>IFERROR(VLOOKUP(K290,【参考】数式用!$A$5:$AB$27,MATCH(U292,【参考】数式用!$B$4:$AB$4,0)+1,0),"")</f>
        <v/>
      </c>
      <c r="W292" s="1465" t="s">
        <v>19</v>
      </c>
      <c r="X292" s="1508">
        <v>7</v>
      </c>
      <c r="Y292" s="1407" t="s">
        <v>10</v>
      </c>
      <c r="Z292" s="1508">
        <v>4</v>
      </c>
      <c r="AA292" s="1407" t="s">
        <v>45</v>
      </c>
      <c r="AB292" s="1508">
        <v>8</v>
      </c>
      <c r="AC292" s="1407" t="s">
        <v>10</v>
      </c>
      <c r="AD292" s="1508">
        <v>3</v>
      </c>
      <c r="AE292" s="1407" t="s">
        <v>13</v>
      </c>
      <c r="AF292" s="1407" t="s">
        <v>24</v>
      </c>
      <c r="AG292" s="1407">
        <f>IF(X292&gt;=1,(AB292*12+AD292)-(X292*12+Z292)+1,"")</f>
        <v>12</v>
      </c>
      <c r="AH292" s="1409" t="s">
        <v>38</v>
      </c>
      <c r="AI292" s="1496" t="str">
        <f>IFERROR(ROUNDDOWN(ROUND(L290*V292,0)*M290,0)*AG292,"")</f>
        <v/>
      </c>
      <c r="AJ292" s="1510" t="str">
        <f>IFERROR(ROUNDDOWN(ROUND((L290*(V292-AX290)),0)*M290,0)*AG292,"")</f>
        <v/>
      </c>
      <c r="AK292" s="1494">
        <f>IFERROR(IF(OR(N290="",N291="",N293=""),0,ROUNDDOWN(ROUNDDOWN(ROUND(L290*VLOOKUP(K290,【参考】数式用!$A$5:$AB$27,MATCH("新加算Ⅳ",【参考】数式用!$B$4:$AB$4,0)+1,0),0)*M290,0)*AG292*0.5,0)),"")</f>
        <v>0</v>
      </c>
      <c r="AL292" s="1435" t="str">
        <f t="shared" ref="AL292" si="287">IF(U292&lt;&gt;"","新規に適用","")</f>
        <v/>
      </c>
      <c r="AM292" s="1498">
        <f>IFERROR(IF(OR(N293="ベア加算",N293=""),0, IF(OR(U290="新加算Ⅰ",U290="新加算Ⅱ",U290="新加算Ⅲ",U290="新加算Ⅳ"),0,ROUNDDOWN(ROUND(L290*VLOOKUP(K290,【参考】数式用!$A$5:$I$27,MATCH("ベア加算",【参考】数式用!$B$4:$I$4,0)+1,0),0)*M290,0)*AG292)),"")</f>
        <v>0</v>
      </c>
      <c r="AN292" s="1356" t="str">
        <f t="shared" ref="AN292" si="288">IF(AM292=0,"",IF(AND(U292&lt;&gt;"",AN290=""),"新規に適用",IF(AND(U292&lt;&gt;"",AN290&lt;&gt;""),"継続で適用","")))</f>
        <v/>
      </c>
      <c r="AO292" s="1356" t="str">
        <f>IF(AND(U292&lt;&gt;"",AO290=""),"新規に適用",IF(AND(U292&lt;&gt;"",AO290&lt;&gt;""),"継続で適用",""))</f>
        <v/>
      </c>
      <c r="AP292" s="1358"/>
      <c r="AQ292" s="1356" t="str">
        <f>IF(AND(U292&lt;&gt;"",AQ290=""),"新規に適用",IF(AND(U292&lt;&gt;"",AQ290&lt;&gt;""),"継続で適用",""))</f>
        <v/>
      </c>
      <c r="AR292" s="1344" t="str">
        <f t="shared" si="226"/>
        <v/>
      </c>
      <c r="AS292" s="1356" t="str">
        <f>IF(AND(U292&lt;&gt;"",AS290=""),"新規に適用",IF(AND(U292&lt;&gt;"",AS290&lt;&gt;""),"継続で適用",""))</f>
        <v/>
      </c>
      <c r="AT292" s="1331"/>
      <c r="AU292" s="651"/>
      <c r="AV292" s="1493" t="str">
        <f>IF(K290&lt;&gt;"","V列に色付け","")</f>
        <v/>
      </c>
      <c r="AW292" s="1518"/>
      <c r="AX292" s="1507"/>
      <c r="AY292" s="163"/>
      <c r="AZ292" s="163"/>
      <c r="BA292" s="163"/>
      <c r="BB292" s="163"/>
      <c r="BC292" s="163"/>
      <c r="BD292" s="163"/>
      <c r="BE292" s="163"/>
      <c r="BF292" s="163"/>
      <c r="BG292" s="163"/>
      <c r="BH292" s="163"/>
      <c r="BI292" s="163"/>
      <c r="BJ292" s="163"/>
      <c r="BK292" s="163"/>
      <c r="BL292" s="543" t="str">
        <f>G290</f>
        <v/>
      </c>
    </row>
    <row r="293" spans="1:64" ht="30" customHeight="1" thickBot="1">
      <c r="A293" s="1227"/>
      <c r="B293" s="1376"/>
      <c r="C293" s="1377"/>
      <c r="D293" s="1377"/>
      <c r="E293" s="1377"/>
      <c r="F293" s="1378"/>
      <c r="G293" s="1267"/>
      <c r="H293" s="1267"/>
      <c r="I293" s="1267"/>
      <c r="J293" s="1373"/>
      <c r="K293" s="1267"/>
      <c r="L293" s="1248"/>
      <c r="M293" s="1251"/>
      <c r="N293" s="650" t="str">
        <f>IF('別紙様式2-2（４・５月分）'!Q223="","",'別紙様式2-2（４・５月分）'!Q223)</f>
        <v/>
      </c>
      <c r="O293" s="1369"/>
      <c r="P293" s="1391"/>
      <c r="Q293" s="1387"/>
      <c r="R293" s="1389"/>
      <c r="S293" s="1395"/>
      <c r="T293" s="1460"/>
      <c r="U293" s="1462"/>
      <c r="V293" s="1464"/>
      <c r="W293" s="1466"/>
      <c r="X293" s="1509"/>
      <c r="Y293" s="1408"/>
      <c r="Z293" s="1509"/>
      <c r="AA293" s="1408"/>
      <c r="AB293" s="1509"/>
      <c r="AC293" s="1408"/>
      <c r="AD293" s="1509"/>
      <c r="AE293" s="1408"/>
      <c r="AF293" s="1408"/>
      <c r="AG293" s="1408"/>
      <c r="AH293" s="1410"/>
      <c r="AI293" s="1497"/>
      <c r="AJ293" s="1511"/>
      <c r="AK293" s="1495"/>
      <c r="AL293" s="1436"/>
      <c r="AM293" s="1499"/>
      <c r="AN293" s="1357"/>
      <c r="AO293" s="1357"/>
      <c r="AP293" s="1359"/>
      <c r="AQ293" s="1357"/>
      <c r="AR293" s="1345"/>
      <c r="AS293" s="1357"/>
      <c r="AT293" s="581" t="str">
        <f t="shared" ref="AT293" si="289">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51"/>
      <c r="AV293" s="1493"/>
      <c r="AW293" s="652" t="str">
        <f>IF('別紙様式2-2（４・５月分）'!O223="","",'別紙様式2-2（４・５月分）'!O223)</f>
        <v/>
      </c>
      <c r="AX293" s="1507"/>
      <c r="AY293" s="163"/>
      <c r="AZ293" s="163"/>
      <c r="BA293" s="163"/>
      <c r="BB293" s="163"/>
      <c r="BC293" s="163"/>
      <c r="BD293" s="163"/>
      <c r="BE293" s="163"/>
      <c r="BF293" s="163"/>
      <c r="BG293" s="163"/>
      <c r="BH293" s="163"/>
      <c r="BI293" s="163"/>
      <c r="BJ293" s="163"/>
      <c r="BK293" s="163"/>
      <c r="BL293" s="543" t="str">
        <f>G290</f>
        <v/>
      </c>
    </row>
    <row r="294" spans="1:64" ht="30" customHeight="1">
      <c r="A294" s="1225">
        <v>71</v>
      </c>
      <c r="B294" s="1272" t="str">
        <f>IF(基本情報入力シート!C124="","",基本情報入力シート!C124)</f>
        <v/>
      </c>
      <c r="C294" s="1261"/>
      <c r="D294" s="1261"/>
      <c r="E294" s="1261"/>
      <c r="F294" s="1262"/>
      <c r="G294" s="1266" t="str">
        <f>IF(基本情報入力シート!M124="","",基本情報入力シート!M124)</f>
        <v/>
      </c>
      <c r="H294" s="1266" t="str">
        <f>IF(基本情報入力シート!R124="","",基本情報入力シート!R124)</f>
        <v/>
      </c>
      <c r="I294" s="1266" t="str">
        <f>IF(基本情報入力シート!W124="","",基本情報入力シート!W124)</f>
        <v/>
      </c>
      <c r="J294" s="1372" t="str">
        <f>IF(基本情報入力シート!X124="","",基本情報入力シート!X124)</f>
        <v/>
      </c>
      <c r="K294" s="1266" t="str">
        <f>IF(基本情報入力シート!Y124="","",基本情報入力シート!Y124)</f>
        <v/>
      </c>
      <c r="L294" s="1247" t="str">
        <f>IF(基本情報入力シート!AB124="","",基本情報入力シート!AB124)</f>
        <v/>
      </c>
      <c r="M294" s="1374" t="str">
        <f>IF(基本情報入力シート!AC124="","",基本情報入力シート!AC124)</f>
        <v/>
      </c>
      <c r="N294" s="647" t="str">
        <f>IF('別紙様式2-2（４・５月分）'!Q224="","",'別紙様式2-2（４・５月分）'!Q224)</f>
        <v/>
      </c>
      <c r="O294" s="1366" t="str">
        <f>IF(SUM('別紙様式2-2（４・５月分）'!R224:R226)=0,"",SUM('別紙様式2-2（４・５月分）'!R224:R226))</f>
        <v/>
      </c>
      <c r="P294" s="1380" t="str">
        <f>IFERROR(VLOOKUP('別紙様式2-2（４・５月分）'!AR224,【参考】数式用!$AT$5:$AU$22,2,FALSE),"")</f>
        <v/>
      </c>
      <c r="Q294" s="1381"/>
      <c r="R294" s="1382"/>
      <c r="S294" s="1392" t="str">
        <f>IFERROR(VLOOKUP(K294,【参考】数式用!$A$5:$AB$27,MATCH(P294,【参考】数式用!$B$4:$AB$4,0)+1,0),"")</f>
        <v/>
      </c>
      <c r="T294" s="1413" t="s">
        <v>2173</v>
      </c>
      <c r="U294" s="1415"/>
      <c r="V294" s="1457" t="str">
        <f>IFERROR(VLOOKUP(K294,【参考】数式用!$A$5:$AB$27,MATCH(U294,【参考】数式用!$B$4:$AB$4,0)+1,0),"")</f>
        <v/>
      </c>
      <c r="W294" s="1350" t="s">
        <v>19</v>
      </c>
      <c r="X294" s="1352">
        <v>6</v>
      </c>
      <c r="Y294" s="1354" t="s">
        <v>10</v>
      </c>
      <c r="Z294" s="1352">
        <v>6</v>
      </c>
      <c r="AA294" s="1354" t="s">
        <v>45</v>
      </c>
      <c r="AB294" s="1352">
        <v>7</v>
      </c>
      <c r="AC294" s="1354" t="s">
        <v>10</v>
      </c>
      <c r="AD294" s="1352">
        <v>3</v>
      </c>
      <c r="AE294" s="1354" t="s">
        <v>13</v>
      </c>
      <c r="AF294" s="1354" t="s">
        <v>24</v>
      </c>
      <c r="AG294" s="1354">
        <f>IF(X294&gt;=1,(AB294*12+AD294)-(X294*12+Z294)+1,"")</f>
        <v>10</v>
      </c>
      <c r="AH294" s="1360" t="s">
        <v>38</v>
      </c>
      <c r="AI294" s="1481" t="str">
        <f>IFERROR(ROUNDDOWN(ROUND(L294*V294,0)*M294,0)*AG294,"")</f>
        <v/>
      </c>
      <c r="AJ294" s="1483" t="str">
        <f>IFERROR(ROUNDDOWN(ROUND((L294*(V294-AX294)),0)*M294,0)*AG294,"")</f>
        <v/>
      </c>
      <c r="AK294" s="1485">
        <f>IFERROR(IF(OR(N294="",N295="",N297=""),0,ROUNDDOWN(ROUNDDOWN(ROUND(L294*VLOOKUP(K294,【参考】数式用!$A$5:$AB$27,MATCH("新加算Ⅳ",【参考】数式用!$B$4:$AB$4,0)+1,0),0)*M294,0)*AG294*0.5,0)),"")</f>
        <v>0</v>
      </c>
      <c r="AL294" s="1433"/>
      <c r="AM294" s="1487">
        <f>IFERROR(IF(OR(N297="ベア加算",N297=""),0, IF(OR(U294="新加算Ⅰ",U294="新加算Ⅱ",U294="新加算Ⅲ",U294="新加算Ⅳ"),ROUNDDOWN(ROUND(L294*VLOOKUP(K294,【参考】数式用!$A$5:$I$27,MATCH("ベア加算",【参考】数式用!$B$4:$I$4,0)+1,0),0)*M294,0)*AG294,0)),"")</f>
        <v>0</v>
      </c>
      <c r="AN294" s="1502"/>
      <c r="AO294" s="1364"/>
      <c r="AP294" s="1403"/>
      <c r="AQ294" s="1403"/>
      <c r="AR294" s="1489"/>
      <c r="AS294" s="1491"/>
      <c r="AT294" s="556" t="str">
        <f t="shared" si="268"/>
        <v/>
      </c>
      <c r="AU294" s="651"/>
      <c r="AV294" s="1493" t="str">
        <f>IF(K294&lt;&gt;"","V列に色付け","")</f>
        <v/>
      </c>
      <c r="AW294" s="652" t="str">
        <f>IF('別紙様式2-2（４・５月分）'!O224="","",'別紙様式2-2（４・５月分）'!O224)</f>
        <v/>
      </c>
      <c r="AX294" s="1507" t="str">
        <f>IF(SUM('別紙様式2-2（４・５月分）'!P224:P226)=0,"",SUM('別紙様式2-2（４・５月分）'!P224:P226))</f>
        <v/>
      </c>
      <c r="AY294" s="1506" t="str">
        <f>IFERROR(VLOOKUP(K294,【参考】数式用!$AJ$2:$AK$24,2,FALSE),"")</f>
        <v/>
      </c>
      <c r="AZ294" s="1321" t="s">
        <v>2098</v>
      </c>
      <c r="BA294" s="1321" t="s">
        <v>2099</v>
      </c>
      <c r="BB294" s="1321" t="s">
        <v>2100</v>
      </c>
      <c r="BC294" s="1321" t="s">
        <v>2101</v>
      </c>
      <c r="BD294" s="1321" t="str">
        <f>IF(AND(P294&lt;&gt;"新加算Ⅰ",P294&lt;&gt;"新加算Ⅱ",P294&lt;&gt;"新加算Ⅲ",P294&lt;&gt;"新加算Ⅳ"),P294,IF(Q296&lt;&gt;"",Q296,""))</f>
        <v/>
      </c>
      <c r="BE294" s="1321"/>
      <c r="BF294" s="1321" t="str">
        <f t="shared" ref="BF294" si="290">IF(AM294&lt;&gt;0,IF(AN294="○","入力済","未入力"),"")</f>
        <v/>
      </c>
      <c r="BG294" s="1321"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321" t="str">
        <f>IF(OR(U294="新加算Ⅴ（７）",U294="新加算Ⅴ（９）",U294="新加算Ⅴ（10）",U294="新加算Ⅴ（12）",U294="新加算Ⅴ（13）",U294="新加算Ⅴ（14）"),IF(OR(AP294="○",AP294="令和６年度中に満たす"),"入力済","未入力"),"")</f>
        <v/>
      </c>
      <c r="BI294" s="1321" t="str">
        <f>IF(OR(U294="新加算Ⅰ",U294="新加算Ⅱ",U294="新加算Ⅲ",U294="新加算Ⅴ（１）",U294="新加算Ⅴ（３）",U294="新加算Ⅴ（８）"),IF(OR(AQ294="○",AQ294="令和６年度中に満たす"),"入力済","未入力"),"")</f>
        <v/>
      </c>
      <c r="BJ294" s="1512"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493" t="str">
        <f>IF(OR(U294="新加算Ⅰ",U294="新加算Ⅴ（１）",U294="新加算Ⅴ（２）",U294="新加算Ⅴ（５）",U294="新加算Ⅴ（７）",U294="新加算Ⅴ（10）"),IF(AS294="","未入力","入力済"),"")</f>
        <v/>
      </c>
      <c r="BL294" s="543" t="str">
        <f>G294</f>
        <v/>
      </c>
    </row>
    <row r="295" spans="1:64" ht="15" customHeight="1">
      <c r="A295" s="1226"/>
      <c r="B295" s="1272"/>
      <c r="C295" s="1261"/>
      <c r="D295" s="1261"/>
      <c r="E295" s="1261"/>
      <c r="F295" s="1262"/>
      <c r="G295" s="1266"/>
      <c r="H295" s="1266"/>
      <c r="I295" s="1266"/>
      <c r="J295" s="1372"/>
      <c r="K295" s="1266"/>
      <c r="L295" s="1247"/>
      <c r="M295" s="1374"/>
      <c r="N295" s="1370" t="str">
        <f>IF('別紙様式2-2（４・５月分）'!Q225="","",'別紙様式2-2（４・５月分）'!Q225)</f>
        <v/>
      </c>
      <c r="O295" s="1367"/>
      <c r="P295" s="1383"/>
      <c r="Q295" s="1384"/>
      <c r="R295" s="1385"/>
      <c r="S295" s="1393"/>
      <c r="T295" s="1414"/>
      <c r="U295" s="1416"/>
      <c r="V295" s="1458"/>
      <c r="W295" s="1351"/>
      <c r="X295" s="1353"/>
      <c r="Y295" s="1355"/>
      <c r="Z295" s="1353"/>
      <c r="AA295" s="1355"/>
      <c r="AB295" s="1353"/>
      <c r="AC295" s="1355"/>
      <c r="AD295" s="1353"/>
      <c r="AE295" s="1355"/>
      <c r="AF295" s="1355"/>
      <c r="AG295" s="1355"/>
      <c r="AH295" s="1361"/>
      <c r="AI295" s="1482"/>
      <c r="AJ295" s="1484"/>
      <c r="AK295" s="1486"/>
      <c r="AL295" s="1434"/>
      <c r="AM295" s="1488"/>
      <c r="AN295" s="1503"/>
      <c r="AO295" s="1365"/>
      <c r="AP295" s="1404"/>
      <c r="AQ295" s="1404"/>
      <c r="AR295" s="1490"/>
      <c r="AS295" s="1492"/>
      <c r="AT295" s="1331" t="str">
        <f t="shared" si="270"/>
        <v/>
      </c>
      <c r="AU295" s="651"/>
      <c r="AV295" s="1493"/>
      <c r="AW295" s="1518" t="str">
        <f>IF('別紙様式2-2（４・５月分）'!O225="","",'別紙様式2-2（４・５月分）'!O225)</f>
        <v/>
      </c>
      <c r="AX295" s="1507"/>
      <c r="AY295" s="1506"/>
      <c r="AZ295" s="1321"/>
      <c r="BA295" s="1321"/>
      <c r="BB295" s="1321"/>
      <c r="BC295" s="1321"/>
      <c r="BD295" s="1321"/>
      <c r="BE295" s="1321"/>
      <c r="BF295" s="1321"/>
      <c r="BG295" s="1321"/>
      <c r="BH295" s="1321"/>
      <c r="BI295" s="1321"/>
      <c r="BJ295" s="1512"/>
      <c r="BK295" s="1493"/>
      <c r="BL295" s="543" t="str">
        <f>G294</f>
        <v/>
      </c>
    </row>
    <row r="296" spans="1:64" ht="15" customHeight="1">
      <c r="A296" s="1240"/>
      <c r="B296" s="1272"/>
      <c r="C296" s="1261"/>
      <c r="D296" s="1261"/>
      <c r="E296" s="1261"/>
      <c r="F296" s="1262"/>
      <c r="G296" s="1266"/>
      <c r="H296" s="1266"/>
      <c r="I296" s="1266"/>
      <c r="J296" s="1372"/>
      <c r="K296" s="1266"/>
      <c r="L296" s="1247"/>
      <c r="M296" s="1374"/>
      <c r="N296" s="1371"/>
      <c r="O296" s="1368"/>
      <c r="P296" s="1390" t="s">
        <v>2179</v>
      </c>
      <c r="Q296" s="1386" t="str">
        <f>IFERROR(VLOOKUP('別紙様式2-2（４・５月分）'!AR224,【参考】数式用!$AT$5:$AV$22,3,FALSE),"")</f>
        <v/>
      </c>
      <c r="R296" s="1388" t="s">
        <v>2190</v>
      </c>
      <c r="S296" s="1394" t="str">
        <f>IFERROR(VLOOKUP(K294,【参考】数式用!$A$5:$AB$27,MATCH(Q296,【参考】数式用!$B$4:$AB$4,0)+1,0),"")</f>
        <v/>
      </c>
      <c r="T296" s="1459" t="s">
        <v>217</v>
      </c>
      <c r="U296" s="1461"/>
      <c r="V296" s="1463" t="str">
        <f>IFERROR(VLOOKUP(K294,【参考】数式用!$A$5:$AB$27,MATCH(U296,【参考】数式用!$B$4:$AB$4,0)+1,0),"")</f>
        <v/>
      </c>
      <c r="W296" s="1465" t="s">
        <v>19</v>
      </c>
      <c r="X296" s="1508">
        <v>7</v>
      </c>
      <c r="Y296" s="1407" t="s">
        <v>10</v>
      </c>
      <c r="Z296" s="1508">
        <v>4</v>
      </c>
      <c r="AA296" s="1407" t="s">
        <v>45</v>
      </c>
      <c r="AB296" s="1508">
        <v>8</v>
      </c>
      <c r="AC296" s="1407" t="s">
        <v>10</v>
      </c>
      <c r="AD296" s="1508">
        <v>3</v>
      </c>
      <c r="AE296" s="1407" t="s">
        <v>13</v>
      </c>
      <c r="AF296" s="1407" t="s">
        <v>24</v>
      </c>
      <c r="AG296" s="1407">
        <f>IF(X296&gt;=1,(AB296*12+AD296)-(X296*12+Z296)+1,"")</f>
        <v>12</v>
      </c>
      <c r="AH296" s="1409" t="s">
        <v>38</v>
      </c>
      <c r="AI296" s="1496" t="str">
        <f>IFERROR(ROUNDDOWN(ROUND(L294*V296,0)*M294,0)*AG296,"")</f>
        <v/>
      </c>
      <c r="AJ296" s="1510" t="str">
        <f>IFERROR(ROUNDDOWN(ROUND((L294*(V296-AX294)),0)*M294,0)*AG296,"")</f>
        <v/>
      </c>
      <c r="AK296" s="1494">
        <f>IFERROR(IF(OR(N294="",N295="",N297=""),0,ROUNDDOWN(ROUNDDOWN(ROUND(L294*VLOOKUP(K294,【参考】数式用!$A$5:$AB$27,MATCH("新加算Ⅳ",【参考】数式用!$B$4:$AB$4,0)+1,0),0)*M294,0)*AG296*0.5,0)),"")</f>
        <v>0</v>
      </c>
      <c r="AL296" s="1435" t="str">
        <f t="shared" ref="AL296" si="291">IF(U296&lt;&gt;"","新規に適用","")</f>
        <v/>
      </c>
      <c r="AM296" s="1498">
        <f>IFERROR(IF(OR(N297="ベア加算",N297=""),0, IF(OR(U294="新加算Ⅰ",U294="新加算Ⅱ",U294="新加算Ⅲ",U294="新加算Ⅳ"),0,ROUNDDOWN(ROUND(L294*VLOOKUP(K294,【参考】数式用!$A$5:$I$27,MATCH("ベア加算",【参考】数式用!$B$4:$I$4,0)+1,0),0)*M294,0)*AG296)),"")</f>
        <v>0</v>
      </c>
      <c r="AN296" s="1356" t="str">
        <f t="shared" ref="AN296" si="292">IF(AM296=0,"",IF(AND(U296&lt;&gt;"",AN294=""),"新規に適用",IF(AND(U296&lt;&gt;"",AN294&lt;&gt;""),"継続で適用","")))</f>
        <v/>
      </c>
      <c r="AO296" s="1356" t="str">
        <f>IF(AND(U296&lt;&gt;"",AO294=""),"新規に適用",IF(AND(U296&lt;&gt;"",AO294&lt;&gt;""),"継続で適用",""))</f>
        <v/>
      </c>
      <c r="AP296" s="1358"/>
      <c r="AQ296" s="1356" t="str">
        <f>IF(AND(U296&lt;&gt;"",AQ294=""),"新規に適用",IF(AND(U296&lt;&gt;"",AQ294&lt;&gt;""),"継続で適用",""))</f>
        <v/>
      </c>
      <c r="AR296" s="1344" t="str">
        <f t="shared" ref="AR296:AR356" si="293">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56" t="str">
        <f>IF(AND(U296&lt;&gt;"",AS294=""),"新規に適用",IF(AND(U296&lt;&gt;"",AS294&lt;&gt;""),"継続で適用",""))</f>
        <v/>
      </c>
      <c r="AT296" s="1331"/>
      <c r="AU296" s="651"/>
      <c r="AV296" s="1493" t="str">
        <f>IF(K294&lt;&gt;"","V列に色付け","")</f>
        <v/>
      </c>
      <c r="AW296" s="1518"/>
      <c r="AX296" s="1507"/>
      <c r="AY296" s="163"/>
      <c r="AZ296" s="163"/>
      <c r="BA296" s="163"/>
      <c r="BB296" s="163"/>
      <c r="BC296" s="163"/>
      <c r="BD296" s="163"/>
      <c r="BE296" s="163"/>
      <c r="BF296" s="163"/>
      <c r="BG296" s="163"/>
      <c r="BH296" s="163"/>
      <c r="BI296" s="163"/>
      <c r="BJ296" s="163"/>
      <c r="BK296" s="163"/>
      <c r="BL296" s="543" t="str">
        <f>G294</f>
        <v/>
      </c>
    </row>
    <row r="297" spans="1:64" ht="30" customHeight="1" thickBot="1">
      <c r="A297" s="1227"/>
      <c r="B297" s="1376"/>
      <c r="C297" s="1377"/>
      <c r="D297" s="1377"/>
      <c r="E297" s="1377"/>
      <c r="F297" s="1378"/>
      <c r="G297" s="1267"/>
      <c r="H297" s="1267"/>
      <c r="I297" s="1267"/>
      <c r="J297" s="1373"/>
      <c r="K297" s="1267"/>
      <c r="L297" s="1248"/>
      <c r="M297" s="1375"/>
      <c r="N297" s="650" t="str">
        <f>IF('別紙様式2-2（４・５月分）'!Q226="","",'別紙様式2-2（４・５月分）'!Q226)</f>
        <v/>
      </c>
      <c r="O297" s="1369"/>
      <c r="P297" s="1391"/>
      <c r="Q297" s="1387"/>
      <c r="R297" s="1389"/>
      <c r="S297" s="1395"/>
      <c r="T297" s="1460"/>
      <c r="U297" s="1462"/>
      <c r="V297" s="1464"/>
      <c r="W297" s="1466"/>
      <c r="X297" s="1509"/>
      <c r="Y297" s="1408"/>
      <c r="Z297" s="1509"/>
      <c r="AA297" s="1408"/>
      <c r="AB297" s="1509"/>
      <c r="AC297" s="1408"/>
      <c r="AD297" s="1509"/>
      <c r="AE297" s="1408"/>
      <c r="AF297" s="1408"/>
      <c r="AG297" s="1408"/>
      <c r="AH297" s="1410"/>
      <c r="AI297" s="1497"/>
      <c r="AJ297" s="1511"/>
      <c r="AK297" s="1495"/>
      <c r="AL297" s="1436"/>
      <c r="AM297" s="1499"/>
      <c r="AN297" s="1357"/>
      <c r="AO297" s="1357"/>
      <c r="AP297" s="1359"/>
      <c r="AQ297" s="1357"/>
      <c r="AR297" s="1345"/>
      <c r="AS297" s="1357"/>
      <c r="AT297" s="581" t="str">
        <f t="shared" ref="AT297" si="294">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51"/>
      <c r="AV297" s="1493"/>
      <c r="AW297" s="652" t="str">
        <f>IF('別紙様式2-2（４・５月分）'!O226="","",'別紙様式2-2（４・５月分）'!O226)</f>
        <v/>
      </c>
      <c r="AX297" s="1507"/>
      <c r="AY297" s="163"/>
      <c r="AZ297" s="163"/>
      <c r="BA297" s="163"/>
      <c r="BB297" s="163"/>
      <c r="BC297" s="163"/>
      <c r="BD297" s="163"/>
      <c r="BE297" s="163"/>
      <c r="BF297" s="163"/>
      <c r="BG297" s="163"/>
      <c r="BH297" s="163"/>
      <c r="BI297" s="163"/>
      <c r="BJ297" s="163"/>
      <c r="BK297" s="163"/>
      <c r="BL297" s="543" t="str">
        <f>G294</f>
        <v/>
      </c>
    </row>
    <row r="298" spans="1:64" ht="30" customHeight="1">
      <c r="A298" s="1241">
        <v>72</v>
      </c>
      <c r="B298" s="1271" t="str">
        <f>IF(基本情報入力シート!C125="","",基本情報入力シート!C125)</f>
        <v/>
      </c>
      <c r="C298" s="1259"/>
      <c r="D298" s="1259"/>
      <c r="E298" s="1259"/>
      <c r="F298" s="1260"/>
      <c r="G298" s="1265" t="str">
        <f>IF(基本情報入力シート!M125="","",基本情報入力シート!M125)</f>
        <v/>
      </c>
      <c r="H298" s="1265" t="str">
        <f>IF(基本情報入力シート!R125="","",基本情報入力シート!R125)</f>
        <v/>
      </c>
      <c r="I298" s="1265" t="str">
        <f>IF(基本情報入力シート!W125="","",基本情報入力シート!W125)</f>
        <v/>
      </c>
      <c r="J298" s="1379" t="str">
        <f>IF(基本情報入力シート!X125="","",基本情報入力シート!X125)</f>
        <v/>
      </c>
      <c r="K298" s="1265" t="str">
        <f>IF(基本情報入力シート!Y125="","",基本情報入力シート!Y125)</f>
        <v/>
      </c>
      <c r="L298" s="1246" t="str">
        <f>IF(基本情報入力シート!AB125="","",基本情報入力シート!AB125)</f>
        <v/>
      </c>
      <c r="M298" s="1249" t="str">
        <f>IF(基本情報入力シート!AC125="","",基本情報入力シート!AC125)</f>
        <v/>
      </c>
      <c r="N298" s="647" t="str">
        <f>IF('別紙様式2-2（４・５月分）'!Q227="","",'別紙様式2-2（４・５月分）'!Q227)</f>
        <v/>
      </c>
      <c r="O298" s="1366" t="str">
        <f>IF(SUM('別紙様式2-2（４・５月分）'!R227:R229)=0,"",SUM('別紙様式2-2（４・５月分）'!R227:R229))</f>
        <v/>
      </c>
      <c r="P298" s="1380" t="str">
        <f>IFERROR(VLOOKUP('別紙様式2-2（４・５月分）'!AR227,【参考】数式用!$AT$5:$AU$22,2,FALSE),"")</f>
        <v/>
      </c>
      <c r="Q298" s="1381"/>
      <c r="R298" s="1382"/>
      <c r="S298" s="1392" t="str">
        <f>IFERROR(VLOOKUP(K298,【参考】数式用!$A$5:$AB$27,MATCH(P298,【参考】数式用!$B$4:$AB$4,0)+1,0),"")</f>
        <v/>
      </c>
      <c r="T298" s="1413" t="s">
        <v>2173</v>
      </c>
      <c r="U298" s="1415"/>
      <c r="V298" s="1457" t="str">
        <f>IFERROR(VLOOKUP(K298,【参考】数式用!$A$5:$AB$27,MATCH(U298,【参考】数式用!$B$4:$AB$4,0)+1,0),"")</f>
        <v/>
      </c>
      <c r="W298" s="1350" t="s">
        <v>19</v>
      </c>
      <c r="X298" s="1352">
        <v>6</v>
      </c>
      <c r="Y298" s="1354" t="s">
        <v>10</v>
      </c>
      <c r="Z298" s="1352">
        <v>6</v>
      </c>
      <c r="AA298" s="1354" t="s">
        <v>45</v>
      </c>
      <c r="AB298" s="1352">
        <v>7</v>
      </c>
      <c r="AC298" s="1354" t="s">
        <v>10</v>
      </c>
      <c r="AD298" s="1352">
        <v>3</v>
      </c>
      <c r="AE298" s="1354" t="s">
        <v>13</v>
      </c>
      <c r="AF298" s="1354" t="s">
        <v>24</v>
      </c>
      <c r="AG298" s="1354">
        <f>IF(X298&gt;=1,(AB298*12+AD298)-(X298*12+Z298)+1,"")</f>
        <v>10</v>
      </c>
      <c r="AH298" s="1360" t="s">
        <v>38</v>
      </c>
      <c r="AI298" s="1481" t="str">
        <f>IFERROR(ROUNDDOWN(ROUND(L298*V298,0)*M298,0)*AG298,"")</f>
        <v/>
      </c>
      <c r="AJ298" s="1483" t="str">
        <f>IFERROR(ROUNDDOWN(ROUND((L298*(V298-AX298)),0)*M298,0)*AG298,"")</f>
        <v/>
      </c>
      <c r="AK298" s="1485">
        <f>IFERROR(IF(OR(N298="",N299="",N301=""),0,ROUNDDOWN(ROUNDDOWN(ROUND(L298*VLOOKUP(K298,【参考】数式用!$A$5:$AB$27,MATCH("新加算Ⅳ",【参考】数式用!$B$4:$AB$4,0)+1,0),0)*M298,0)*AG298*0.5,0)),"")</f>
        <v>0</v>
      </c>
      <c r="AL298" s="1433"/>
      <c r="AM298" s="1487">
        <f>IFERROR(IF(OR(N301="ベア加算",N301=""),0, IF(OR(U298="新加算Ⅰ",U298="新加算Ⅱ",U298="新加算Ⅲ",U298="新加算Ⅳ"),ROUNDDOWN(ROUND(L298*VLOOKUP(K298,【参考】数式用!$A$5:$I$27,MATCH("ベア加算",【参考】数式用!$B$4:$I$4,0)+1,0),0)*M298,0)*AG298,0)),"")</f>
        <v>0</v>
      </c>
      <c r="AN298" s="1502"/>
      <c r="AO298" s="1364"/>
      <c r="AP298" s="1403"/>
      <c r="AQ298" s="1403"/>
      <c r="AR298" s="1489"/>
      <c r="AS298" s="1491"/>
      <c r="AT298" s="556" t="str">
        <f t="shared" si="268"/>
        <v/>
      </c>
      <c r="AU298" s="651"/>
      <c r="AV298" s="1493" t="str">
        <f>IF(K298&lt;&gt;"","V列に色付け","")</f>
        <v/>
      </c>
      <c r="AW298" s="652" t="str">
        <f>IF('別紙様式2-2（４・５月分）'!O227="","",'別紙様式2-2（４・５月分）'!O227)</f>
        <v/>
      </c>
      <c r="AX298" s="1507" t="str">
        <f>IF(SUM('別紙様式2-2（４・５月分）'!P227:P229)=0,"",SUM('別紙様式2-2（４・５月分）'!P227:P229))</f>
        <v/>
      </c>
      <c r="AY298" s="1506" t="str">
        <f>IFERROR(VLOOKUP(K298,【参考】数式用!$AJ$2:$AK$24,2,FALSE),"")</f>
        <v/>
      </c>
      <c r="AZ298" s="1321" t="s">
        <v>2098</v>
      </c>
      <c r="BA298" s="1321" t="s">
        <v>2099</v>
      </c>
      <c r="BB298" s="1321" t="s">
        <v>2100</v>
      </c>
      <c r="BC298" s="1321" t="s">
        <v>2101</v>
      </c>
      <c r="BD298" s="1321" t="str">
        <f>IF(AND(P298&lt;&gt;"新加算Ⅰ",P298&lt;&gt;"新加算Ⅱ",P298&lt;&gt;"新加算Ⅲ",P298&lt;&gt;"新加算Ⅳ"),P298,IF(Q300&lt;&gt;"",Q300,""))</f>
        <v/>
      </c>
      <c r="BE298" s="1321"/>
      <c r="BF298" s="1321" t="str">
        <f t="shared" ref="BF298" si="295">IF(AM298&lt;&gt;0,IF(AN298="○","入力済","未入力"),"")</f>
        <v/>
      </c>
      <c r="BG298" s="1321"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321" t="str">
        <f>IF(OR(U298="新加算Ⅴ（７）",U298="新加算Ⅴ（９）",U298="新加算Ⅴ（10）",U298="新加算Ⅴ（12）",U298="新加算Ⅴ（13）",U298="新加算Ⅴ（14）"),IF(OR(AP298="○",AP298="令和６年度中に満たす"),"入力済","未入力"),"")</f>
        <v/>
      </c>
      <c r="BI298" s="1321" t="str">
        <f>IF(OR(U298="新加算Ⅰ",U298="新加算Ⅱ",U298="新加算Ⅲ",U298="新加算Ⅴ（１）",U298="新加算Ⅴ（３）",U298="新加算Ⅴ（８）"),IF(OR(AQ298="○",AQ298="令和６年度中に満たす"),"入力済","未入力"),"")</f>
        <v/>
      </c>
      <c r="BJ298" s="1512"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493" t="str">
        <f>IF(OR(U298="新加算Ⅰ",U298="新加算Ⅴ（１）",U298="新加算Ⅴ（２）",U298="新加算Ⅴ（５）",U298="新加算Ⅴ（７）",U298="新加算Ⅴ（10）"),IF(AS298="","未入力","入力済"),"")</f>
        <v/>
      </c>
      <c r="BL298" s="543" t="str">
        <f>G298</f>
        <v/>
      </c>
    </row>
    <row r="299" spans="1:64" ht="15" customHeight="1">
      <c r="A299" s="1226"/>
      <c r="B299" s="1272"/>
      <c r="C299" s="1261"/>
      <c r="D299" s="1261"/>
      <c r="E299" s="1261"/>
      <c r="F299" s="1262"/>
      <c r="G299" s="1266"/>
      <c r="H299" s="1266"/>
      <c r="I299" s="1266"/>
      <c r="J299" s="1372"/>
      <c r="K299" s="1266"/>
      <c r="L299" s="1247"/>
      <c r="M299" s="1250"/>
      <c r="N299" s="1370" t="str">
        <f>IF('別紙様式2-2（４・５月分）'!Q228="","",'別紙様式2-2（４・５月分）'!Q228)</f>
        <v/>
      </c>
      <c r="O299" s="1367"/>
      <c r="P299" s="1383"/>
      <c r="Q299" s="1384"/>
      <c r="R299" s="1385"/>
      <c r="S299" s="1393"/>
      <c r="T299" s="1414"/>
      <c r="U299" s="1416"/>
      <c r="V299" s="1458"/>
      <c r="W299" s="1351"/>
      <c r="X299" s="1353"/>
      <c r="Y299" s="1355"/>
      <c r="Z299" s="1353"/>
      <c r="AA299" s="1355"/>
      <c r="AB299" s="1353"/>
      <c r="AC299" s="1355"/>
      <c r="AD299" s="1353"/>
      <c r="AE299" s="1355"/>
      <c r="AF299" s="1355"/>
      <c r="AG299" s="1355"/>
      <c r="AH299" s="1361"/>
      <c r="AI299" s="1482"/>
      <c r="AJ299" s="1484"/>
      <c r="AK299" s="1486"/>
      <c r="AL299" s="1434"/>
      <c r="AM299" s="1488"/>
      <c r="AN299" s="1503"/>
      <c r="AO299" s="1365"/>
      <c r="AP299" s="1404"/>
      <c r="AQ299" s="1404"/>
      <c r="AR299" s="1490"/>
      <c r="AS299" s="1492"/>
      <c r="AT299" s="1331" t="str">
        <f t="shared" si="270"/>
        <v/>
      </c>
      <c r="AU299" s="651"/>
      <c r="AV299" s="1493"/>
      <c r="AW299" s="1518" t="str">
        <f>IF('別紙様式2-2（４・５月分）'!O228="","",'別紙様式2-2（４・５月分）'!O228)</f>
        <v/>
      </c>
      <c r="AX299" s="1507"/>
      <c r="AY299" s="1506"/>
      <c r="AZ299" s="1321"/>
      <c r="BA299" s="1321"/>
      <c r="BB299" s="1321"/>
      <c r="BC299" s="1321"/>
      <c r="BD299" s="1321"/>
      <c r="BE299" s="1321"/>
      <c r="BF299" s="1321"/>
      <c r="BG299" s="1321"/>
      <c r="BH299" s="1321"/>
      <c r="BI299" s="1321"/>
      <c r="BJ299" s="1512"/>
      <c r="BK299" s="1493"/>
      <c r="BL299" s="543" t="str">
        <f>G298</f>
        <v/>
      </c>
    </row>
    <row r="300" spans="1:64" ht="15" customHeight="1">
      <c r="A300" s="1240"/>
      <c r="B300" s="1272"/>
      <c r="C300" s="1261"/>
      <c r="D300" s="1261"/>
      <c r="E300" s="1261"/>
      <c r="F300" s="1262"/>
      <c r="G300" s="1266"/>
      <c r="H300" s="1266"/>
      <c r="I300" s="1266"/>
      <c r="J300" s="1372"/>
      <c r="K300" s="1266"/>
      <c r="L300" s="1247"/>
      <c r="M300" s="1250"/>
      <c r="N300" s="1371"/>
      <c r="O300" s="1368"/>
      <c r="P300" s="1390" t="s">
        <v>2179</v>
      </c>
      <c r="Q300" s="1386" t="str">
        <f>IFERROR(VLOOKUP('別紙様式2-2（４・５月分）'!AR227,【参考】数式用!$AT$5:$AV$22,3,FALSE),"")</f>
        <v/>
      </c>
      <c r="R300" s="1388" t="s">
        <v>2190</v>
      </c>
      <c r="S300" s="1396" t="str">
        <f>IFERROR(VLOOKUP(K298,【参考】数式用!$A$5:$AB$27,MATCH(Q300,【参考】数式用!$B$4:$AB$4,0)+1,0),"")</f>
        <v/>
      </c>
      <c r="T300" s="1459" t="s">
        <v>217</v>
      </c>
      <c r="U300" s="1461"/>
      <c r="V300" s="1463" t="str">
        <f>IFERROR(VLOOKUP(K298,【参考】数式用!$A$5:$AB$27,MATCH(U300,【参考】数式用!$B$4:$AB$4,0)+1,0),"")</f>
        <v/>
      </c>
      <c r="W300" s="1465" t="s">
        <v>19</v>
      </c>
      <c r="X300" s="1508">
        <v>7</v>
      </c>
      <c r="Y300" s="1407" t="s">
        <v>10</v>
      </c>
      <c r="Z300" s="1508">
        <v>4</v>
      </c>
      <c r="AA300" s="1407" t="s">
        <v>45</v>
      </c>
      <c r="AB300" s="1508">
        <v>8</v>
      </c>
      <c r="AC300" s="1407" t="s">
        <v>10</v>
      </c>
      <c r="AD300" s="1508">
        <v>3</v>
      </c>
      <c r="AE300" s="1407" t="s">
        <v>13</v>
      </c>
      <c r="AF300" s="1407" t="s">
        <v>24</v>
      </c>
      <c r="AG300" s="1407">
        <f>IF(X300&gt;=1,(AB300*12+AD300)-(X300*12+Z300)+1,"")</f>
        <v>12</v>
      </c>
      <c r="AH300" s="1409" t="s">
        <v>38</v>
      </c>
      <c r="AI300" s="1496" t="str">
        <f>IFERROR(ROUNDDOWN(ROUND(L298*V300,0)*M298,0)*AG300,"")</f>
        <v/>
      </c>
      <c r="AJ300" s="1510" t="str">
        <f>IFERROR(ROUNDDOWN(ROUND((L298*(V300-AX298)),0)*M298,0)*AG300,"")</f>
        <v/>
      </c>
      <c r="AK300" s="1494">
        <f>IFERROR(IF(OR(N298="",N299="",N301=""),0,ROUNDDOWN(ROUNDDOWN(ROUND(L298*VLOOKUP(K298,【参考】数式用!$A$5:$AB$27,MATCH("新加算Ⅳ",【参考】数式用!$B$4:$AB$4,0)+1,0),0)*M298,0)*AG300*0.5,0)),"")</f>
        <v>0</v>
      </c>
      <c r="AL300" s="1435" t="str">
        <f t="shared" ref="AL300" si="296">IF(U300&lt;&gt;"","新規に適用","")</f>
        <v/>
      </c>
      <c r="AM300" s="1498">
        <f>IFERROR(IF(OR(N301="ベア加算",N301=""),0, IF(OR(U298="新加算Ⅰ",U298="新加算Ⅱ",U298="新加算Ⅲ",U298="新加算Ⅳ"),0,ROUNDDOWN(ROUND(L298*VLOOKUP(K298,【参考】数式用!$A$5:$I$27,MATCH("ベア加算",【参考】数式用!$B$4:$I$4,0)+1,0),0)*M298,0)*AG300)),"")</f>
        <v>0</v>
      </c>
      <c r="AN300" s="1356" t="str">
        <f t="shared" ref="AN300" si="297">IF(AM300=0,"",IF(AND(U300&lt;&gt;"",AN298=""),"新規に適用",IF(AND(U300&lt;&gt;"",AN298&lt;&gt;""),"継続で適用","")))</f>
        <v/>
      </c>
      <c r="AO300" s="1356" t="str">
        <f>IF(AND(U300&lt;&gt;"",AO298=""),"新規に適用",IF(AND(U300&lt;&gt;"",AO298&lt;&gt;""),"継続で適用",""))</f>
        <v/>
      </c>
      <c r="AP300" s="1358"/>
      <c r="AQ300" s="1356" t="str">
        <f>IF(AND(U300&lt;&gt;"",AQ298=""),"新規に適用",IF(AND(U300&lt;&gt;"",AQ298&lt;&gt;""),"継続で適用",""))</f>
        <v/>
      </c>
      <c r="AR300" s="1344" t="str">
        <f t="shared" si="293"/>
        <v/>
      </c>
      <c r="AS300" s="1356" t="str">
        <f>IF(AND(U300&lt;&gt;"",AS298=""),"新規に適用",IF(AND(U300&lt;&gt;"",AS298&lt;&gt;""),"継続で適用",""))</f>
        <v/>
      </c>
      <c r="AT300" s="1331"/>
      <c r="AU300" s="651"/>
      <c r="AV300" s="1493" t="str">
        <f>IF(K298&lt;&gt;"","V列に色付け","")</f>
        <v/>
      </c>
      <c r="AW300" s="1518"/>
      <c r="AX300" s="1507"/>
      <c r="AY300" s="163"/>
      <c r="AZ300" s="163"/>
      <c r="BA300" s="163"/>
      <c r="BB300" s="163"/>
      <c r="BC300" s="163"/>
      <c r="BD300" s="163"/>
      <c r="BE300" s="163"/>
      <c r="BF300" s="163"/>
      <c r="BG300" s="163"/>
      <c r="BH300" s="163"/>
      <c r="BI300" s="163"/>
      <c r="BJ300" s="163"/>
      <c r="BK300" s="163"/>
      <c r="BL300" s="543" t="str">
        <f>G298</f>
        <v/>
      </c>
    </row>
    <row r="301" spans="1:64" ht="30" customHeight="1" thickBot="1">
      <c r="A301" s="1227"/>
      <c r="B301" s="1376"/>
      <c r="C301" s="1377"/>
      <c r="D301" s="1377"/>
      <c r="E301" s="1377"/>
      <c r="F301" s="1378"/>
      <c r="G301" s="1267"/>
      <c r="H301" s="1267"/>
      <c r="I301" s="1267"/>
      <c r="J301" s="1373"/>
      <c r="K301" s="1267"/>
      <c r="L301" s="1248"/>
      <c r="M301" s="1251"/>
      <c r="N301" s="650" t="str">
        <f>IF('別紙様式2-2（４・５月分）'!Q229="","",'別紙様式2-2（４・５月分）'!Q229)</f>
        <v/>
      </c>
      <c r="O301" s="1369"/>
      <c r="P301" s="1391"/>
      <c r="Q301" s="1387"/>
      <c r="R301" s="1389"/>
      <c r="S301" s="1395"/>
      <c r="T301" s="1460"/>
      <c r="U301" s="1462"/>
      <c r="V301" s="1464"/>
      <c r="W301" s="1466"/>
      <c r="X301" s="1509"/>
      <c r="Y301" s="1408"/>
      <c r="Z301" s="1509"/>
      <c r="AA301" s="1408"/>
      <c r="AB301" s="1509"/>
      <c r="AC301" s="1408"/>
      <c r="AD301" s="1509"/>
      <c r="AE301" s="1408"/>
      <c r="AF301" s="1408"/>
      <c r="AG301" s="1408"/>
      <c r="AH301" s="1410"/>
      <c r="AI301" s="1497"/>
      <c r="AJ301" s="1511"/>
      <c r="AK301" s="1495"/>
      <c r="AL301" s="1436"/>
      <c r="AM301" s="1499"/>
      <c r="AN301" s="1357"/>
      <c r="AO301" s="1357"/>
      <c r="AP301" s="1359"/>
      <c r="AQ301" s="1357"/>
      <c r="AR301" s="1345"/>
      <c r="AS301" s="1357"/>
      <c r="AT301" s="581" t="str">
        <f t="shared" ref="AT301" si="298">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51"/>
      <c r="AV301" s="1493"/>
      <c r="AW301" s="652" t="str">
        <f>IF('別紙様式2-2（４・５月分）'!O229="","",'別紙様式2-2（４・５月分）'!O229)</f>
        <v/>
      </c>
      <c r="AX301" s="1507"/>
      <c r="AY301" s="163"/>
      <c r="AZ301" s="163"/>
      <c r="BA301" s="163"/>
      <c r="BB301" s="163"/>
      <c r="BC301" s="163"/>
      <c r="BD301" s="163"/>
      <c r="BE301" s="163"/>
      <c r="BF301" s="163"/>
      <c r="BG301" s="163"/>
      <c r="BH301" s="163"/>
      <c r="BI301" s="163"/>
      <c r="BJ301" s="163"/>
      <c r="BK301" s="163"/>
      <c r="BL301" s="543" t="str">
        <f>G298</f>
        <v/>
      </c>
    </row>
    <row r="302" spans="1:64" ht="30" customHeight="1">
      <c r="A302" s="1225">
        <v>73</v>
      </c>
      <c r="B302" s="1272" t="str">
        <f>IF(基本情報入力シート!C126="","",基本情報入力シート!C126)</f>
        <v/>
      </c>
      <c r="C302" s="1261"/>
      <c r="D302" s="1261"/>
      <c r="E302" s="1261"/>
      <c r="F302" s="1262"/>
      <c r="G302" s="1266" t="str">
        <f>IF(基本情報入力シート!M126="","",基本情報入力シート!M126)</f>
        <v/>
      </c>
      <c r="H302" s="1266" t="str">
        <f>IF(基本情報入力シート!R126="","",基本情報入力シート!R126)</f>
        <v/>
      </c>
      <c r="I302" s="1266" t="str">
        <f>IF(基本情報入力シート!W126="","",基本情報入力シート!W126)</f>
        <v/>
      </c>
      <c r="J302" s="1372" t="str">
        <f>IF(基本情報入力シート!X126="","",基本情報入力シート!X126)</f>
        <v/>
      </c>
      <c r="K302" s="1266" t="str">
        <f>IF(基本情報入力シート!Y126="","",基本情報入力シート!Y126)</f>
        <v/>
      </c>
      <c r="L302" s="1247" t="str">
        <f>IF(基本情報入力シート!AB126="","",基本情報入力シート!AB126)</f>
        <v/>
      </c>
      <c r="M302" s="1374" t="str">
        <f>IF(基本情報入力シート!AC126="","",基本情報入力シート!AC126)</f>
        <v/>
      </c>
      <c r="N302" s="647" t="str">
        <f>IF('別紙様式2-2（４・５月分）'!Q230="","",'別紙様式2-2（４・５月分）'!Q230)</f>
        <v/>
      </c>
      <c r="O302" s="1366" t="str">
        <f>IF(SUM('別紙様式2-2（４・５月分）'!R230:R232)=0,"",SUM('別紙様式2-2（４・５月分）'!R230:R232))</f>
        <v/>
      </c>
      <c r="P302" s="1380" t="str">
        <f>IFERROR(VLOOKUP('別紙様式2-2（４・５月分）'!AR230,【参考】数式用!$AT$5:$AU$22,2,FALSE),"")</f>
        <v/>
      </c>
      <c r="Q302" s="1381"/>
      <c r="R302" s="1382"/>
      <c r="S302" s="1392" t="str">
        <f>IFERROR(VLOOKUP(K302,【参考】数式用!$A$5:$AB$27,MATCH(P302,【参考】数式用!$B$4:$AB$4,0)+1,0),"")</f>
        <v/>
      </c>
      <c r="T302" s="1413" t="s">
        <v>2173</v>
      </c>
      <c r="U302" s="1415"/>
      <c r="V302" s="1457" t="str">
        <f>IFERROR(VLOOKUP(K302,【参考】数式用!$A$5:$AB$27,MATCH(U302,【参考】数式用!$B$4:$AB$4,0)+1,0),"")</f>
        <v/>
      </c>
      <c r="W302" s="1350" t="s">
        <v>19</v>
      </c>
      <c r="X302" s="1352">
        <v>6</v>
      </c>
      <c r="Y302" s="1354" t="s">
        <v>10</v>
      </c>
      <c r="Z302" s="1352">
        <v>6</v>
      </c>
      <c r="AA302" s="1354" t="s">
        <v>45</v>
      </c>
      <c r="AB302" s="1352">
        <v>7</v>
      </c>
      <c r="AC302" s="1354" t="s">
        <v>10</v>
      </c>
      <c r="AD302" s="1352">
        <v>3</v>
      </c>
      <c r="AE302" s="1354" t="s">
        <v>13</v>
      </c>
      <c r="AF302" s="1354" t="s">
        <v>24</v>
      </c>
      <c r="AG302" s="1354">
        <f>IF(X302&gt;=1,(AB302*12+AD302)-(X302*12+Z302)+1,"")</f>
        <v>10</v>
      </c>
      <c r="AH302" s="1360" t="s">
        <v>38</v>
      </c>
      <c r="AI302" s="1481" t="str">
        <f>IFERROR(ROUNDDOWN(ROUND(L302*V302,0)*M302,0)*AG302,"")</f>
        <v/>
      </c>
      <c r="AJ302" s="1483" t="str">
        <f>IFERROR(ROUNDDOWN(ROUND((L302*(V302-AX302)),0)*M302,0)*AG302,"")</f>
        <v/>
      </c>
      <c r="AK302" s="1485">
        <f>IFERROR(IF(OR(N302="",N303="",N305=""),0,ROUNDDOWN(ROUNDDOWN(ROUND(L302*VLOOKUP(K302,【参考】数式用!$A$5:$AB$27,MATCH("新加算Ⅳ",【参考】数式用!$B$4:$AB$4,0)+1,0),0)*M302,0)*AG302*0.5,0)),"")</f>
        <v>0</v>
      </c>
      <c r="AL302" s="1433"/>
      <c r="AM302" s="1487">
        <f>IFERROR(IF(OR(N305="ベア加算",N305=""),0, IF(OR(U302="新加算Ⅰ",U302="新加算Ⅱ",U302="新加算Ⅲ",U302="新加算Ⅳ"),ROUNDDOWN(ROUND(L302*VLOOKUP(K302,【参考】数式用!$A$5:$I$27,MATCH("ベア加算",【参考】数式用!$B$4:$I$4,0)+1,0),0)*M302,0)*AG302,0)),"")</f>
        <v>0</v>
      </c>
      <c r="AN302" s="1502"/>
      <c r="AO302" s="1364"/>
      <c r="AP302" s="1403"/>
      <c r="AQ302" s="1403"/>
      <c r="AR302" s="1489"/>
      <c r="AS302" s="1491"/>
      <c r="AT302" s="556" t="str">
        <f t="shared" si="268"/>
        <v/>
      </c>
      <c r="AU302" s="651"/>
      <c r="AV302" s="1493" t="str">
        <f>IF(K302&lt;&gt;"","V列に色付け","")</f>
        <v/>
      </c>
      <c r="AW302" s="652" t="str">
        <f>IF('別紙様式2-2（４・５月分）'!O230="","",'別紙様式2-2（４・５月分）'!O230)</f>
        <v/>
      </c>
      <c r="AX302" s="1507" t="str">
        <f>IF(SUM('別紙様式2-2（４・５月分）'!P230:P232)=0,"",SUM('別紙様式2-2（４・５月分）'!P230:P232))</f>
        <v/>
      </c>
      <c r="AY302" s="1506" t="str">
        <f>IFERROR(VLOOKUP(K302,【参考】数式用!$AJ$2:$AK$24,2,FALSE),"")</f>
        <v/>
      </c>
      <c r="AZ302" s="1321" t="s">
        <v>2098</v>
      </c>
      <c r="BA302" s="1321" t="s">
        <v>2099</v>
      </c>
      <c r="BB302" s="1321" t="s">
        <v>2100</v>
      </c>
      <c r="BC302" s="1321" t="s">
        <v>2101</v>
      </c>
      <c r="BD302" s="1321" t="str">
        <f>IF(AND(P302&lt;&gt;"新加算Ⅰ",P302&lt;&gt;"新加算Ⅱ",P302&lt;&gt;"新加算Ⅲ",P302&lt;&gt;"新加算Ⅳ"),P302,IF(Q304&lt;&gt;"",Q304,""))</f>
        <v/>
      </c>
      <c r="BE302" s="1321"/>
      <c r="BF302" s="1321" t="str">
        <f t="shared" ref="BF302" si="299">IF(AM302&lt;&gt;0,IF(AN302="○","入力済","未入力"),"")</f>
        <v/>
      </c>
      <c r="BG302" s="1321"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321" t="str">
        <f>IF(OR(U302="新加算Ⅴ（７）",U302="新加算Ⅴ（９）",U302="新加算Ⅴ（10）",U302="新加算Ⅴ（12）",U302="新加算Ⅴ（13）",U302="新加算Ⅴ（14）"),IF(OR(AP302="○",AP302="令和６年度中に満たす"),"入力済","未入力"),"")</f>
        <v/>
      </c>
      <c r="BI302" s="1321" t="str">
        <f>IF(OR(U302="新加算Ⅰ",U302="新加算Ⅱ",U302="新加算Ⅲ",U302="新加算Ⅴ（１）",U302="新加算Ⅴ（３）",U302="新加算Ⅴ（８）"),IF(OR(AQ302="○",AQ302="令和６年度中に満たす"),"入力済","未入力"),"")</f>
        <v/>
      </c>
      <c r="BJ302" s="1512"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493" t="str">
        <f>IF(OR(U302="新加算Ⅰ",U302="新加算Ⅴ（１）",U302="新加算Ⅴ（２）",U302="新加算Ⅴ（５）",U302="新加算Ⅴ（７）",U302="新加算Ⅴ（10）"),IF(AS302="","未入力","入力済"),"")</f>
        <v/>
      </c>
      <c r="BL302" s="543" t="str">
        <f>G302</f>
        <v/>
      </c>
    </row>
    <row r="303" spans="1:64" ht="15" customHeight="1">
      <c r="A303" s="1226"/>
      <c r="B303" s="1272"/>
      <c r="C303" s="1261"/>
      <c r="D303" s="1261"/>
      <c r="E303" s="1261"/>
      <c r="F303" s="1262"/>
      <c r="G303" s="1266"/>
      <c r="H303" s="1266"/>
      <c r="I303" s="1266"/>
      <c r="J303" s="1372"/>
      <c r="K303" s="1266"/>
      <c r="L303" s="1247"/>
      <c r="M303" s="1374"/>
      <c r="N303" s="1370" t="str">
        <f>IF('別紙様式2-2（４・５月分）'!Q231="","",'別紙様式2-2（４・５月分）'!Q231)</f>
        <v/>
      </c>
      <c r="O303" s="1367"/>
      <c r="P303" s="1383"/>
      <c r="Q303" s="1384"/>
      <c r="R303" s="1385"/>
      <c r="S303" s="1393"/>
      <c r="T303" s="1414"/>
      <c r="U303" s="1416"/>
      <c r="V303" s="1458"/>
      <c r="W303" s="1351"/>
      <c r="X303" s="1353"/>
      <c r="Y303" s="1355"/>
      <c r="Z303" s="1353"/>
      <c r="AA303" s="1355"/>
      <c r="AB303" s="1353"/>
      <c r="AC303" s="1355"/>
      <c r="AD303" s="1353"/>
      <c r="AE303" s="1355"/>
      <c r="AF303" s="1355"/>
      <c r="AG303" s="1355"/>
      <c r="AH303" s="1361"/>
      <c r="AI303" s="1482"/>
      <c r="AJ303" s="1484"/>
      <c r="AK303" s="1486"/>
      <c r="AL303" s="1434"/>
      <c r="AM303" s="1488"/>
      <c r="AN303" s="1503"/>
      <c r="AO303" s="1365"/>
      <c r="AP303" s="1404"/>
      <c r="AQ303" s="1404"/>
      <c r="AR303" s="1490"/>
      <c r="AS303" s="1492"/>
      <c r="AT303" s="1331" t="str">
        <f t="shared" si="270"/>
        <v/>
      </c>
      <c r="AU303" s="651"/>
      <c r="AV303" s="1493"/>
      <c r="AW303" s="1518" t="str">
        <f>IF('別紙様式2-2（４・５月分）'!O231="","",'別紙様式2-2（４・５月分）'!O231)</f>
        <v/>
      </c>
      <c r="AX303" s="1507"/>
      <c r="AY303" s="1506"/>
      <c r="AZ303" s="1321"/>
      <c r="BA303" s="1321"/>
      <c r="BB303" s="1321"/>
      <c r="BC303" s="1321"/>
      <c r="BD303" s="1321"/>
      <c r="BE303" s="1321"/>
      <c r="BF303" s="1321"/>
      <c r="BG303" s="1321"/>
      <c r="BH303" s="1321"/>
      <c r="BI303" s="1321"/>
      <c r="BJ303" s="1512"/>
      <c r="BK303" s="1493"/>
      <c r="BL303" s="543" t="str">
        <f>G302</f>
        <v/>
      </c>
    </row>
    <row r="304" spans="1:64" ht="15" customHeight="1">
      <c r="A304" s="1240"/>
      <c r="B304" s="1272"/>
      <c r="C304" s="1261"/>
      <c r="D304" s="1261"/>
      <c r="E304" s="1261"/>
      <c r="F304" s="1262"/>
      <c r="G304" s="1266"/>
      <c r="H304" s="1266"/>
      <c r="I304" s="1266"/>
      <c r="J304" s="1372"/>
      <c r="K304" s="1266"/>
      <c r="L304" s="1247"/>
      <c r="M304" s="1374"/>
      <c r="N304" s="1371"/>
      <c r="O304" s="1368"/>
      <c r="P304" s="1390" t="s">
        <v>2179</v>
      </c>
      <c r="Q304" s="1386" t="str">
        <f>IFERROR(VLOOKUP('別紙様式2-2（４・５月分）'!AR230,【参考】数式用!$AT$5:$AV$22,3,FALSE),"")</f>
        <v/>
      </c>
      <c r="R304" s="1388" t="s">
        <v>2190</v>
      </c>
      <c r="S304" s="1394" t="str">
        <f>IFERROR(VLOOKUP(K302,【参考】数式用!$A$5:$AB$27,MATCH(Q304,【参考】数式用!$B$4:$AB$4,0)+1,0),"")</f>
        <v/>
      </c>
      <c r="T304" s="1459" t="s">
        <v>217</v>
      </c>
      <c r="U304" s="1461"/>
      <c r="V304" s="1463" t="str">
        <f>IFERROR(VLOOKUP(K302,【参考】数式用!$A$5:$AB$27,MATCH(U304,【参考】数式用!$B$4:$AB$4,0)+1,0),"")</f>
        <v/>
      </c>
      <c r="W304" s="1465" t="s">
        <v>19</v>
      </c>
      <c r="X304" s="1508">
        <v>7</v>
      </c>
      <c r="Y304" s="1407" t="s">
        <v>10</v>
      </c>
      <c r="Z304" s="1508">
        <v>4</v>
      </c>
      <c r="AA304" s="1407" t="s">
        <v>45</v>
      </c>
      <c r="AB304" s="1508">
        <v>8</v>
      </c>
      <c r="AC304" s="1407" t="s">
        <v>10</v>
      </c>
      <c r="AD304" s="1508">
        <v>3</v>
      </c>
      <c r="AE304" s="1407" t="s">
        <v>13</v>
      </c>
      <c r="AF304" s="1407" t="s">
        <v>24</v>
      </c>
      <c r="AG304" s="1407">
        <f>IF(X304&gt;=1,(AB304*12+AD304)-(X304*12+Z304)+1,"")</f>
        <v>12</v>
      </c>
      <c r="AH304" s="1409" t="s">
        <v>38</v>
      </c>
      <c r="AI304" s="1496" t="str">
        <f>IFERROR(ROUNDDOWN(ROUND(L302*V304,0)*M302,0)*AG304,"")</f>
        <v/>
      </c>
      <c r="AJ304" s="1510" t="str">
        <f>IFERROR(ROUNDDOWN(ROUND((L302*(V304-AX302)),0)*M302,0)*AG304,"")</f>
        <v/>
      </c>
      <c r="AK304" s="1494">
        <f>IFERROR(IF(OR(N302="",N303="",N305=""),0,ROUNDDOWN(ROUNDDOWN(ROUND(L302*VLOOKUP(K302,【参考】数式用!$A$5:$AB$27,MATCH("新加算Ⅳ",【参考】数式用!$B$4:$AB$4,0)+1,0),0)*M302,0)*AG304*0.5,0)),"")</f>
        <v>0</v>
      </c>
      <c r="AL304" s="1435" t="str">
        <f t="shared" ref="AL304" si="300">IF(U304&lt;&gt;"","新規に適用","")</f>
        <v/>
      </c>
      <c r="AM304" s="1498">
        <f>IFERROR(IF(OR(N305="ベア加算",N305=""),0, IF(OR(U302="新加算Ⅰ",U302="新加算Ⅱ",U302="新加算Ⅲ",U302="新加算Ⅳ"),0,ROUNDDOWN(ROUND(L302*VLOOKUP(K302,【参考】数式用!$A$5:$I$27,MATCH("ベア加算",【参考】数式用!$B$4:$I$4,0)+1,0),0)*M302,0)*AG304)),"")</f>
        <v>0</v>
      </c>
      <c r="AN304" s="1356" t="str">
        <f t="shared" ref="AN304" si="301">IF(AM304=0,"",IF(AND(U304&lt;&gt;"",AN302=""),"新規に適用",IF(AND(U304&lt;&gt;"",AN302&lt;&gt;""),"継続で適用","")))</f>
        <v/>
      </c>
      <c r="AO304" s="1356" t="str">
        <f>IF(AND(U304&lt;&gt;"",AO302=""),"新規に適用",IF(AND(U304&lt;&gt;"",AO302&lt;&gt;""),"継続で適用",""))</f>
        <v/>
      </c>
      <c r="AP304" s="1358"/>
      <c r="AQ304" s="1356" t="str">
        <f>IF(AND(U304&lt;&gt;"",AQ302=""),"新規に適用",IF(AND(U304&lt;&gt;"",AQ302&lt;&gt;""),"継続で適用",""))</f>
        <v/>
      </c>
      <c r="AR304" s="1344" t="str">
        <f t="shared" si="293"/>
        <v/>
      </c>
      <c r="AS304" s="1356" t="str">
        <f>IF(AND(U304&lt;&gt;"",AS302=""),"新規に適用",IF(AND(U304&lt;&gt;"",AS302&lt;&gt;""),"継続で適用",""))</f>
        <v/>
      </c>
      <c r="AT304" s="1331"/>
      <c r="AU304" s="651"/>
      <c r="AV304" s="1493" t="str">
        <f>IF(K302&lt;&gt;"","V列に色付け","")</f>
        <v/>
      </c>
      <c r="AW304" s="1518"/>
      <c r="AX304" s="1507"/>
      <c r="AY304" s="163"/>
      <c r="AZ304" s="163"/>
      <c r="BA304" s="163"/>
      <c r="BB304" s="163"/>
      <c r="BC304" s="163"/>
      <c r="BD304" s="163"/>
      <c r="BE304" s="163"/>
      <c r="BF304" s="163"/>
      <c r="BG304" s="163"/>
      <c r="BH304" s="163"/>
      <c r="BI304" s="163"/>
      <c r="BJ304" s="163"/>
      <c r="BK304" s="163"/>
      <c r="BL304" s="543" t="str">
        <f>G302</f>
        <v/>
      </c>
    </row>
    <row r="305" spans="1:64" ht="30" customHeight="1" thickBot="1">
      <c r="A305" s="1227"/>
      <c r="B305" s="1376"/>
      <c r="C305" s="1377"/>
      <c r="D305" s="1377"/>
      <c r="E305" s="1377"/>
      <c r="F305" s="1378"/>
      <c r="G305" s="1267"/>
      <c r="H305" s="1267"/>
      <c r="I305" s="1267"/>
      <c r="J305" s="1373"/>
      <c r="K305" s="1267"/>
      <c r="L305" s="1248"/>
      <c r="M305" s="1375"/>
      <c r="N305" s="650" t="str">
        <f>IF('別紙様式2-2（４・５月分）'!Q232="","",'別紙様式2-2（４・５月分）'!Q232)</f>
        <v/>
      </c>
      <c r="O305" s="1369"/>
      <c r="P305" s="1391"/>
      <c r="Q305" s="1387"/>
      <c r="R305" s="1389"/>
      <c r="S305" s="1395"/>
      <c r="T305" s="1460"/>
      <c r="U305" s="1462"/>
      <c r="V305" s="1464"/>
      <c r="W305" s="1466"/>
      <c r="X305" s="1509"/>
      <c r="Y305" s="1408"/>
      <c r="Z305" s="1509"/>
      <c r="AA305" s="1408"/>
      <c r="AB305" s="1509"/>
      <c r="AC305" s="1408"/>
      <c r="AD305" s="1509"/>
      <c r="AE305" s="1408"/>
      <c r="AF305" s="1408"/>
      <c r="AG305" s="1408"/>
      <c r="AH305" s="1410"/>
      <c r="AI305" s="1497"/>
      <c r="AJ305" s="1511"/>
      <c r="AK305" s="1495"/>
      <c r="AL305" s="1436"/>
      <c r="AM305" s="1499"/>
      <c r="AN305" s="1357"/>
      <c r="AO305" s="1357"/>
      <c r="AP305" s="1359"/>
      <c r="AQ305" s="1357"/>
      <c r="AR305" s="1345"/>
      <c r="AS305" s="1357"/>
      <c r="AT305" s="581" t="str">
        <f t="shared" ref="AT305" si="302">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51"/>
      <c r="AV305" s="1493"/>
      <c r="AW305" s="652" t="str">
        <f>IF('別紙様式2-2（４・５月分）'!O232="","",'別紙様式2-2（４・５月分）'!O232)</f>
        <v/>
      </c>
      <c r="AX305" s="1507"/>
      <c r="AY305" s="163"/>
      <c r="AZ305" s="163"/>
      <c r="BA305" s="163"/>
      <c r="BB305" s="163"/>
      <c r="BC305" s="163"/>
      <c r="BD305" s="163"/>
      <c r="BE305" s="163"/>
      <c r="BF305" s="163"/>
      <c r="BG305" s="163"/>
      <c r="BH305" s="163"/>
      <c r="BI305" s="163"/>
      <c r="BJ305" s="163"/>
      <c r="BK305" s="163"/>
      <c r="BL305" s="543" t="str">
        <f>G302</f>
        <v/>
      </c>
    </row>
    <row r="306" spans="1:64" ht="30" customHeight="1">
      <c r="A306" s="1241">
        <v>74</v>
      </c>
      <c r="B306" s="1272" t="str">
        <f>IF(基本情報入力シート!C127="","",基本情報入力シート!C127)</f>
        <v/>
      </c>
      <c r="C306" s="1261"/>
      <c r="D306" s="1261"/>
      <c r="E306" s="1261"/>
      <c r="F306" s="1262"/>
      <c r="G306" s="1266" t="str">
        <f>IF(基本情報入力シート!M127="","",基本情報入力シート!M127)</f>
        <v/>
      </c>
      <c r="H306" s="1266" t="str">
        <f>IF(基本情報入力シート!R127="","",基本情報入力シート!R127)</f>
        <v/>
      </c>
      <c r="I306" s="1266" t="str">
        <f>IF(基本情報入力シート!W127="","",基本情報入力シート!W127)</f>
        <v/>
      </c>
      <c r="J306" s="1372" t="str">
        <f>IF(基本情報入力シート!X127="","",基本情報入力シート!X127)</f>
        <v/>
      </c>
      <c r="K306" s="1266" t="str">
        <f>IF(基本情報入力シート!Y127="","",基本情報入力シート!Y127)</f>
        <v/>
      </c>
      <c r="L306" s="1247" t="str">
        <f>IF(基本情報入力シート!AB127="","",基本情報入力シート!AB127)</f>
        <v/>
      </c>
      <c r="M306" s="1374" t="str">
        <f>IF(基本情報入力シート!AC127="","",基本情報入力シート!AC127)</f>
        <v/>
      </c>
      <c r="N306" s="647" t="str">
        <f>IF('別紙様式2-2（４・５月分）'!Q233="","",'別紙様式2-2（４・５月分）'!Q233)</f>
        <v/>
      </c>
      <c r="O306" s="1366" t="str">
        <f>IF(SUM('別紙様式2-2（４・５月分）'!R233:R235)=0,"",SUM('別紙様式2-2（４・５月分）'!R233:R235))</f>
        <v/>
      </c>
      <c r="P306" s="1380" t="str">
        <f>IFERROR(VLOOKUP('別紙様式2-2（４・５月分）'!AR233,【参考】数式用!$AT$5:$AU$22,2,FALSE),"")</f>
        <v/>
      </c>
      <c r="Q306" s="1381"/>
      <c r="R306" s="1382"/>
      <c r="S306" s="1392" t="str">
        <f>IFERROR(VLOOKUP(K306,【参考】数式用!$A$5:$AB$27,MATCH(P306,【参考】数式用!$B$4:$AB$4,0)+1,0),"")</f>
        <v/>
      </c>
      <c r="T306" s="1413" t="s">
        <v>2173</v>
      </c>
      <c r="U306" s="1415"/>
      <c r="V306" s="1457" t="str">
        <f>IFERROR(VLOOKUP(K306,【参考】数式用!$A$5:$AB$27,MATCH(U306,【参考】数式用!$B$4:$AB$4,0)+1,0),"")</f>
        <v/>
      </c>
      <c r="W306" s="1350" t="s">
        <v>19</v>
      </c>
      <c r="X306" s="1352">
        <v>6</v>
      </c>
      <c r="Y306" s="1354" t="s">
        <v>10</v>
      </c>
      <c r="Z306" s="1352">
        <v>6</v>
      </c>
      <c r="AA306" s="1354" t="s">
        <v>45</v>
      </c>
      <c r="AB306" s="1352">
        <v>7</v>
      </c>
      <c r="AC306" s="1354" t="s">
        <v>10</v>
      </c>
      <c r="AD306" s="1352">
        <v>3</v>
      </c>
      <c r="AE306" s="1354" t="s">
        <v>13</v>
      </c>
      <c r="AF306" s="1354" t="s">
        <v>24</v>
      </c>
      <c r="AG306" s="1354">
        <f>IF(X306&gt;=1,(AB306*12+AD306)-(X306*12+Z306)+1,"")</f>
        <v>10</v>
      </c>
      <c r="AH306" s="1360" t="s">
        <v>38</v>
      </c>
      <c r="AI306" s="1481" t="str">
        <f>IFERROR(ROUNDDOWN(ROUND(L306*V306,0)*M306,0)*AG306,"")</f>
        <v/>
      </c>
      <c r="AJ306" s="1483" t="str">
        <f>IFERROR(ROUNDDOWN(ROUND((L306*(V306-AX306)),0)*M306,0)*AG306,"")</f>
        <v/>
      </c>
      <c r="AK306" s="1485">
        <f>IFERROR(IF(OR(N306="",N307="",N309=""),0,ROUNDDOWN(ROUNDDOWN(ROUND(L306*VLOOKUP(K306,【参考】数式用!$A$5:$AB$27,MATCH("新加算Ⅳ",【参考】数式用!$B$4:$AB$4,0)+1,0),0)*M306,0)*AG306*0.5,0)),"")</f>
        <v>0</v>
      </c>
      <c r="AL306" s="1433"/>
      <c r="AM306" s="1487">
        <f>IFERROR(IF(OR(N309="ベア加算",N309=""),0, IF(OR(U306="新加算Ⅰ",U306="新加算Ⅱ",U306="新加算Ⅲ",U306="新加算Ⅳ"),ROUNDDOWN(ROUND(L306*VLOOKUP(K306,【参考】数式用!$A$5:$I$27,MATCH("ベア加算",【参考】数式用!$B$4:$I$4,0)+1,0),0)*M306,0)*AG306,0)),"")</f>
        <v>0</v>
      </c>
      <c r="AN306" s="1502"/>
      <c r="AO306" s="1364"/>
      <c r="AP306" s="1403"/>
      <c r="AQ306" s="1403"/>
      <c r="AR306" s="1489"/>
      <c r="AS306" s="1491"/>
      <c r="AT306" s="556" t="str">
        <f t="shared" si="268"/>
        <v/>
      </c>
      <c r="AU306" s="651"/>
      <c r="AV306" s="1493" t="str">
        <f>IF(K306&lt;&gt;"","V列に色付け","")</f>
        <v/>
      </c>
      <c r="AW306" s="652" t="str">
        <f>IF('別紙様式2-2（４・５月分）'!O233="","",'別紙様式2-2（４・５月分）'!O233)</f>
        <v/>
      </c>
      <c r="AX306" s="1507" t="str">
        <f>IF(SUM('別紙様式2-2（４・５月分）'!P233:P235)=0,"",SUM('別紙様式2-2（４・５月分）'!P233:P235))</f>
        <v/>
      </c>
      <c r="AY306" s="1506" t="str">
        <f>IFERROR(VLOOKUP(K306,【参考】数式用!$AJ$2:$AK$24,2,FALSE),"")</f>
        <v/>
      </c>
      <c r="AZ306" s="1321" t="s">
        <v>2098</v>
      </c>
      <c r="BA306" s="1321" t="s">
        <v>2099</v>
      </c>
      <c r="BB306" s="1321" t="s">
        <v>2100</v>
      </c>
      <c r="BC306" s="1321" t="s">
        <v>2101</v>
      </c>
      <c r="BD306" s="1321" t="str">
        <f>IF(AND(P306&lt;&gt;"新加算Ⅰ",P306&lt;&gt;"新加算Ⅱ",P306&lt;&gt;"新加算Ⅲ",P306&lt;&gt;"新加算Ⅳ"),P306,IF(Q308&lt;&gt;"",Q308,""))</f>
        <v/>
      </c>
      <c r="BE306" s="1321"/>
      <c r="BF306" s="1321" t="str">
        <f t="shared" ref="BF306" si="303">IF(AM306&lt;&gt;0,IF(AN306="○","入力済","未入力"),"")</f>
        <v/>
      </c>
      <c r="BG306" s="1321"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321" t="str">
        <f>IF(OR(U306="新加算Ⅴ（７）",U306="新加算Ⅴ（９）",U306="新加算Ⅴ（10）",U306="新加算Ⅴ（12）",U306="新加算Ⅴ（13）",U306="新加算Ⅴ（14）"),IF(OR(AP306="○",AP306="令和６年度中に満たす"),"入力済","未入力"),"")</f>
        <v/>
      </c>
      <c r="BI306" s="1321" t="str">
        <f>IF(OR(U306="新加算Ⅰ",U306="新加算Ⅱ",U306="新加算Ⅲ",U306="新加算Ⅴ（１）",U306="新加算Ⅴ（３）",U306="新加算Ⅴ（８）"),IF(OR(AQ306="○",AQ306="令和６年度中に満たす"),"入力済","未入力"),"")</f>
        <v/>
      </c>
      <c r="BJ306" s="1512"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493" t="str">
        <f>IF(OR(U306="新加算Ⅰ",U306="新加算Ⅴ（１）",U306="新加算Ⅴ（２）",U306="新加算Ⅴ（５）",U306="新加算Ⅴ（７）",U306="新加算Ⅴ（10）"),IF(AS306="","未入力","入力済"),"")</f>
        <v/>
      </c>
      <c r="BL306" s="543" t="str">
        <f>G306</f>
        <v/>
      </c>
    </row>
    <row r="307" spans="1:64" ht="15" customHeight="1">
      <c r="A307" s="1226"/>
      <c r="B307" s="1272"/>
      <c r="C307" s="1261"/>
      <c r="D307" s="1261"/>
      <c r="E307" s="1261"/>
      <c r="F307" s="1262"/>
      <c r="G307" s="1266"/>
      <c r="H307" s="1266"/>
      <c r="I307" s="1266"/>
      <c r="J307" s="1372"/>
      <c r="K307" s="1266"/>
      <c r="L307" s="1247"/>
      <c r="M307" s="1374"/>
      <c r="N307" s="1370" t="str">
        <f>IF('別紙様式2-2（４・５月分）'!Q234="","",'別紙様式2-2（４・５月分）'!Q234)</f>
        <v/>
      </c>
      <c r="O307" s="1367"/>
      <c r="P307" s="1383"/>
      <c r="Q307" s="1384"/>
      <c r="R307" s="1385"/>
      <c r="S307" s="1393"/>
      <c r="T307" s="1414"/>
      <c r="U307" s="1416"/>
      <c r="V307" s="1458"/>
      <c r="W307" s="1351"/>
      <c r="X307" s="1353"/>
      <c r="Y307" s="1355"/>
      <c r="Z307" s="1353"/>
      <c r="AA307" s="1355"/>
      <c r="AB307" s="1353"/>
      <c r="AC307" s="1355"/>
      <c r="AD307" s="1353"/>
      <c r="AE307" s="1355"/>
      <c r="AF307" s="1355"/>
      <c r="AG307" s="1355"/>
      <c r="AH307" s="1361"/>
      <c r="AI307" s="1482"/>
      <c r="AJ307" s="1484"/>
      <c r="AK307" s="1486"/>
      <c r="AL307" s="1434"/>
      <c r="AM307" s="1488"/>
      <c r="AN307" s="1503"/>
      <c r="AO307" s="1365"/>
      <c r="AP307" s="1404"/>
      <c r="AQ307" s="1404"/>
      <c r="AR307" s="1490"/>
      <c r="AS307" s="1492"/>
      <c r="AT307" s="1331" t="str">
        <f t="shared" si="270"/>
        <v/>
      </c>
      <c r="AU307" s="651"/>
      <c r="AV307" s="1493"/>
      <c r="AW307" s="1518" t="str">
        <f>IF('別紙様式2-2（４・５月分）'!O234="","",'別紙様式2-2（４・５月分）'!O234)</f>
        <v/>
      </c>
      <c r="AX307" s="1507"/>
      <c r="AY307" s="1506"/>
      <c r="AZ307" s="1321"/>
      <c r="BA307" s="1321"/>
      <c r="BB307" s="1321"/>
      <c r="BC307" s="1321"/>
      <c r="BD307" s="1321"/>
      <c r="BE307" s="1321"/>
      <c r="BF307" s="1321"/>
      <c r="BG307" s="1321"/>
      <c r="BH307" s="1321"/>
      <c r="BI307" s="1321"/>
      <c r="BJ307" s="1512"/>
      <c r="BK307" s="1493"/>
      <c r="BL307" s="543" t="str">
        <f>G306</f>
        <v/>
      </c>
    </row>
    <row r="308" spans="1:64" ht="15" customHeight="1">
      <c r="A308" s="1240"/>
      <c r="B308" s="1272"/>
      <c r="C308" s="1261"/>
      <c r="D308" s="1261"/>
      <c r="E308" s="1261"/>
      <c r="F308" s="1262"/>
      <c r="G308" s="1266"/>
      <c r="H308" s="1266"/>
      <c r="I308" s="1266"/>
      <c r="J308" s="1372"/>
      <c r="K308" s="1266"/>
      <c r="L308" s="1247"/>
      <c r="M308" s="1374"/>
      <c r="N308" s="1371"/>
      <c r="O308" s="1368"/>
      <c r="P308" s="1390" t="s">
        <v>2179</v>
      </c>
      <c r="Q308" s="1386" t="str">
        <f>IFERROR(VLOOKUP('別紙様式2-2（４・５月分）'!AR233,【参考】数式用!$AT$5:$AV$22,3,FALSE),"")</f>
        <v/>
      </c>
      <c r="R308" s="1388" t="s">
        <v>2190</v>
      </c>
      <c r="S308" s="1394" t="str">
        <f>IFERROR(VLOOKUP(K306,【参考】数式用!$A$5:$AB$27,MATCH(Q308,【参考】数式用!$B$4:$AB$4,0)+1,0),"")</f>
        <v/>
      </c>
      <c r="T308" s="1459" t="s">
        <v>217</v>
      </c>
      <c r="U308" s="1461"/>
      <c r="V308" s="1463" t="str">
        <f>IFERROR(VLOOKUP(K306,【参考】数式用!$A$5:$AB$27,MATCH(U308,【参考】数式用!$B$4:$AB$4,0)+1,0),"")</f>
        <v/>
      </c>
      <c r="W308" s="1465" t="s">
        <v>19</v>
      </c>
      <c r="X308" s="1508">
        <v>7</v>
      </c>
      <c r="Y308" s="1407" t="s">
        <v>10</v>
      </c>
      <c r="Z308" s="1508">
        <v>4</v>
      </c>
      <c r="AA308" s="1407" t="s">
        <v>45</v>
      </c>
      <c r="AB308" s="1508">
        <v>8</v>
      </c>
      <c r="AC308" s="1407" t="s">
        <v>10</v>
      </c>
      <c r="AD308" s="1508">
        <v>3</v>
      </c>
      <c r="AE308" s="1407" t="s">
        <v>13</v>
      </c>
      <c r="AF308" s="1407" t="s">
        <v>24</v>
      </c>
      <c r="AG308" s="1407">
        <f>IF(X308&gt;=1,(AB308*12+AD308)-(X308*12+Z308)+1,"")</f>
        <v>12</v>
      </c>
      <c r="AH308" s="1409" t="s">
        <v>38</v>
      </c>
      <c r="AI308" s="1496" t="str">
        <f>IFERROR(ROUNDDOWN(ROUND(L306*V308,0)*M306,0)*AG308,"")</f>
        <v/>
      </c>
      <c r="AJ308" s="1510" t="str">
        <f>IFERROR(ROUNDDOWN(ROUND((L306*(V308-AX306)),0)*M306,0)*AG308,"")</f>
        <v/>
      </c>
      <c r="AK308" s="1494">
        <f>IFERROR(IF(OR(N306="",N307="",N309=""),0,ROUNDDOWN(ROUNDDOWN(ROUND(L306*VLOOKUP(K306,【参考】数式用!$A$5:$AB$27,MATCH("新加算Ⅳ",【参考】数式用!$B$4:$AB$4,0)+1,0),0)*M306,0)*AG308*0.5,0)),"")</f>
        <v>0</v>
      </c>
      <c r="AL308" s="1435" t="str">
        <f t="shared" ref="AL308" si="304">IF(U308&lt;&gt;"","新規に適用","")</f>
        <v/>
      </c>
      <c r="AM308" s="1498">
        <f>IFERROR(IF(OR(N309="ベア加算",N309=""),0, IF(OR(U306="新加算Ⅰ",U306="新加算Ⅱ",U306="新加算Ⅲ",U306="新加算Ⅳ"),0,ROUNDDOWN(ROUND(L306*VLOOKUP(K306,【参考】数式用!$A$5:$I$27,MATCH("ベア加算",【参考】数式用!$B$4:$I$4,0)+1,0),0)*M306,0)*AG308)),"")</f>
        <v>0</v>
      </c>
      <c r="AN308" s="1356" t="str">
        <f t="shared" ref="AN308" si="305">IF(AM308=0,"",IF(AND(U308&lt;&gt;"",AN306=""),"新規に適用",IF(AND(U308&lt;&gt;"",AN306&lt;&gt;""),"継続で適用","")))</f>
        <v/>
      </c>
      <c r="AO308" s="1356" t="str">
        <f>IF(AND(U308&lt;&gt;"",AO306=""),"新規に適用",IF(AND(U308&lt;&gt;"",AO306&lt;&gt;""),"継続で適用",""))</f>
        <v/>
      </c>
      <c r="AP308" s="1358"/>
      <c r="AQ308" s="1356" t="str">
        <f>IF(AND(U308&lt;&gt;"",AQ306=""),"新規に適用",IF(AND(U308&lt;&gt;"",AQ306&lt;&gt;""),"継続で適用",""))</f>
        <v/>
      </c>
      <c r="AR308" s="1344" t="str">
        <f t="shared" si="293"/>
        <v/>
      </c>
      <c r="AS308" s="1356" t="str">
        <f>IF(AND(U308&lt;&gt;"",AS306=""),"新規に適用",IF(AND(U308&lt;&gt;"",AS306&lt;&gt;""),"継続で適用",""))</f>
        <v/>
      </c>
      <c r="AT308" s="1331"/>
      <c r="AU308" s="651"/>
      <c r="AV308" s="1493" t="str">
        <f>IF(K306&lt;&gt;"","V列に色付け","")</f>
        <v/>
      </c>
      <c r="AW308" s="1518"/>
      <c r="AX308" s="1507"/>
      <c r="AY308" s="163"/>
      <c r="AZ308" s="163"/>
      <c r="BA308" s="163"/>
      <c r="BB308" s="163"/>
      <c r="BC308" s="163"/>
      <c r="BD308" s="163"/>
      <c r="BE308" s="163"/>
      <c r="BF308" s="163"/>
      <c r="BG308" s="163"/>
      <c r="BH308" s="163"/>
      <c r="BI308" s="163"/>
      <c r="BJ308" s="163"/>
      <c r="BK308" s="163"/>
      <c r="BL308" s="543" t="str">
        <f>G306</f>
        <v/>
      </c>
    </row>
    <row r="309" spans="1:64" ht="30" customHeight="1" thickBot="1">
      <c r="A309" s="1227"/>
      <c r="B309" s="1376"/>
      <c r="C309" s="1377"/>
      <c r="D309" s="1377"/>
      <c r="E309" s="1377"/>
      <c r="F309" s="1378"/>
      <c r="G309" s="1267"/>
      <c r="H309" s="1267"/>
      <c r="I309" s="1267"/>
      <c r="J309" s="1373"/>
      <c r="K309" s="1267"/>
      <c r="L309" s="1248"/>
      <c r="M309" s="1375"/>
      <c r="N309" s="650" t="str">
        <f>IF('別紙様式2-2（４・５月分）'!Q235="","",'別紙様式2-2（４・５月分）'!Q235)</f>
        <v/>
      </c>
      <c r="O309" s="1369"/>
      <c r="P309" s="1391"/>
      <c r="Q309" s="1387"/>
      <c r="R309" s="1389"/>
      <c r="S309" s="1395"/>
      <c r="T309" s="1460"/>
      <c r="U309" s="1462"/>
      <c r="V309" s="1464"/>
      <c r="W309" s="1466"/>
      <c r="X309" s="1509"/>
      <c r="Y309" s="1408"/>
      <c r="Z309" s="1509"/>
      <c r="AA309" s="1408"/>
      <c r="AB309" s="1509"/>
      <c r="AC309" s="1408"/>
      <c r="AD309" s="1509"/>
      <c r="AE309" s="1408"/>
      <c r="AF309" s="1408"/>
      <c r="AG309" s="1408"/>
      <c r="AH309" s="1410"/>
      <c r="AI309" s="1497"/>
      <c r="AJ309" s="1511"/>
      <c r="AK309" s="1495"/>
      <c r="AL309" s="1436"/>
      <c r="AM309" s="1499"/>
      <c r="AN309" s="1357"/>
      <c r="AO309" s="1357"/>
      <c r="AP309" s="1359"/>
      <c r="AQ309" s="1357"/>
      <c r="AR309" s="1345"/>
      <c r="AS309" s="1357"/>
      <c r="AT309" s="581" t="str">
        <f t="shared" ref="AT309" si="306">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51"/>
      <c r="AV309" s="1493"/>
      <c r="AW309" s="652" t="str">
        <f>IF('別紙様式2-2（４・５月分）'!O235="","",'別紙様式2-2（４・５月分）'!O235)</f>
        <v/>
      </c>
      <c r="AX309" s="1507"/>
      <c r="AY309" s="163"/>
      <c r="AZ309" s="163"/>
      <c r="BA309" s="163"/>
      <c r="BB309" s="163"/>
      <c r="BC309" s="163"/>
      <c r="BD309" s="163"/>
      <c r="BE309" s="163"/>
      <c r="BF309" s="163"/>
      <c r="BG309" s="163"/>
      <c r="BH309" s="163"/>
      <c r="BI309" s="163"/>
      <c r="BJ309" s="163"/>
      <c r="BK309" s="163"/>
      <c r="BL309" s="543" t="str">
        <f>G306</f>
        <v/>
      </c>
    </row>
    <row r="310" spans="1:64" ht="30" customHeight="1">
      <c r="A310" s="1225">
        <v>75</v>
      </c>
      <c r="B310" s="1271" t="str">
        <f>IF(基本情報入力シート!C128="","",基本情報入力シート!C128)</f>
        <v/>
      </c>
      <c r="C310" s="1259"/>
      <c r="D310" s="1259"/>
      <c r="E310" s="1259"/>
      <c r="F310" s="1260"/>
      <c r="G310" s="1265" t="str">
        <f>IF(基本情報入力シート!M128="","",基本情報入力シート!M128)</f>
        <v/>
      </c>
      <c r="H310" s="1265" t="str">
        <f>IF(基本情報入力シート!R128="","",基本情報入力シート!R128)</f>
        <v/>
      </c>
      <c r="I310" s="1265" t="str">
        <f>IF(基本情報入力シート!W128="","",基本情報入力シート!W128)</f>
        <v/>
      </c>
      <c r="J310" s="1379" t="str">
        <f>IF(基本情報入力シート!X128="","",基本情報入力シート!X128)</f>
        <v/>
      </c>
      <c r="K310" s="1265" t="str">
        <f>IF(基本情報入力シート!Y128="","",基本情報入力シート!Y128)</f>
        <v/>
      </c>
      <c r="L310" s="1246" t="str">
        <f>IF(基本情報入力シート!AB128="","",基本情報入力シート!AB128)</f>
        <v/>
      </c>
      <c r="M310" s="1249" t="str">
        <f>IF(基本情報入力シート!AC128="","",基本情報入力シート!AC128)</f>
        <v/>
      </c>
      <c r="N310" s="647" t="str">
        <f>IF('別紙様式2-2（４・５月分）'!Q236="","",'別紙様式2-2（４・５月分）'!Q236)</f>
        <v/>
      </c>
      <c r="O310" s="1366" t="str">
        <f>IF(SUM('別紙様式2-2（４・５月分）'!R236:R238)=0,"",SUM('別紙様式2-2（４・５月分）'!R236:R238))</f>
        <v/>
      </c>
      <c r="P310" s="1380" t="str">
        <f>IFERROR(VLOOKUP('別紙様式2-2（４・５月分）'!AR236,【参考】数式用!$AT$5:$AU$22,2,FALSE),"")</f>
        <v/>
      </c>
      <c r="Q310" s="1381"/>
      <c r="R310" s="1382"/>
      <c r="S310" s="1392" t="str">
        <f>IFERROR(VLOOKUP(K310,【参考】数式用!$A$5:$AB$27,MATCH(P310,【参考】数式用!$B$4:$AB$4,0)+1,0),"")</f>
        <v/>
      </c>
      <c r="T310" s="1413" t="s">
        <v>2173</v>
      </c>
      <c r="U310" s="1415"/>
      <c r="V310" s="1457" t="str">
        <f>IFERROR(VLOOKUP(K310,【参考】数式用!$A$5:$AB$27,MATCH(U310,【参考】数式用!$B$4:$AB$4,0)+1,0),"")</f>
        <v/>
      </c>
      <c r="W310" s="1350" t="s">
        <v>19</v>
      </c>
      <c r="X310" s="1352">
        <v>6</v>
      </c>
      <c r="Y310" s="1354" t="s">
        <v>10</v>
      </c>
      <c r="Z310" s="1352">
        <v>6</v>
      </c>
      <c r="AA310" s="1354" t="s">
        <v>45</v>
      </c>
      <c r="AB310" s="1352">
        <v>7</v>
      </c>
      <c r="AC310" s="1354" t="s">
        <v>10</v>
      </c>
      <c r="AD310" s="1352">
        <v>3</v>
      </c>
      <c r="AE310" s="1354" t="s">
        <v>13</v>
      </c>
      <c r="AF310" s="1354" t="s">
        <v>24</v>
      </c>
      <c r="AG310" s="1354">
        <f>IF(X310&gt;=1,(AB310*12+AD310)-(X310*12+Z310)+1,"")</f>
        <v>10</v>
      </c>
      <c r="AH310" s="1360" t="s">
        <v>38</v>
      </c>
      <c r="AI310" s="1481" t="str">
        <f>IFERROR(ROUNDDOWN(ROUND(L310*V310,0)*M310,0)*AG310,"")</f>
        <v/>
      </c>
      <c r="AJ310" s="1483" t="str">
        <f>IFERROR(ROUNDDOWN(ROUND((L310*(V310-AX310)),0)*M310,0)*AG310,"")</f>
        <v/>
      </c>
      <c r="AK310" s="1485">
        <f>IFERROR(IF(OR(N310="",N311="",N313=""),0,ROUNDDOWN(ROUNDDOWN(ROUND(L310*VLOOKUP(K310,【参考】数式用!$A$5:$AB$27,MATCH("新加算Ⅳ",【参考】数式用!$B$4:$AB$4,0)+1,0),0)*M310,0)*AG310*0.5,0)),"")</f>
        <v>0</v>
      </c>
      <c r="AL310" s="1433"/>
      <c r="AM310" s="1487">
        <f>IFERROR(IF(OR(N313="ベア加算",N313=""),0, IF(OR(U310="新加算Ⅰ",U310="新加算Ⅱ",U310="新加算Ⅲ",U310="新加算Ⅳ"),ROUNDDOWN(ROUND(L310*VLOOKUP(K310,【参考】数式用!$A$5:$I$27,MATCH("ベア加算",【参考】数式用!$B$4:$I$4,0)+1,0),0)*M310,0)*AG310,0)),"")</f>
        <v>0</v>
      </c>
      <c r="AN310" s="1502"/>
      <c r="AO310" s="1364"/>
      <c r="AP310" s="1403"/>
      <c r="AQ310" s="1403"/>
      <c r="AR310" s="1489"/>
      <c r="AS310" s="1491"/>
      <c r="AT310" s="556" t="str">
        <f t="shared" si="268"/>
        <v/>
      </c>
      <c r="AU310" s="651"/>
      <c r="AV310" s="1493" t="str">
        <f>IF(K310&lt;&gt;"","V列に色付け","")</f>
        <v/>
      </c>
      <c r="AW310" s="652" t="str">
        <f>IF('別紙様式2-2（４・５月分）'!O236="","",'別紙様式2-2（４・５月分）'!O236)</f>
        <v/>
      </c>
      <c r="AX310" s="1507" t="str">
        <f>IF(SUM('別紙様式2-2（４・５月分）'!P236:P238)=0,"",SUM('別紙様式2-2（４・５月分）'!P236:P238))</f>
        <v/>
      </c>
      <c r="AY310" s="1506" t="str">
        <f>IFERROR(VLOOKUP(K310,【参考】数式用!$AJ$2:$AK$24,2,FALSE),"")</f>
        <v/>
      </c>
      <c r="AZ310" s="1321" t="s">
        <v>2098</v>
      </c>
      <c r="BA310" s="1321" t="s">
        <v>2099</v>
      </c>
      <c r="BB310" s="1321" t="s">
        <v>2100</v>
      </c>
      <c r="BC310" s="1321" t="s">
        <v>2101</v>
      </c>
      <c r="BD310" s="1321" t="str">
        <f>IF(AND(P310&lt;&gt;"新加算Ⅰ",P310&lt;&gt;"新加算Ⅱ",P310&lt;&gt;"新加算Ⅲ",P310&lt;&gt;"新加算Ⅳ"),P310,IF(Q312&lt;&gt;"",Q312,""))</f>
        <v/>
      </c>
      <c r="BE310" s="1321"/>
      <c r="BF310" s="1321" t="str">
        <f t="shared" ref="BF310" si="307">IF(AM310&lt;&gt;0,IF(AN310="○","入力済","未入力"),"")</f>
        <v/>
      </c>
      <c r="BG310" s="1321"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321" t="str">
        <f>IF(OR(U310="新加算Ⅴ（７）",U310="新加算Ⅴ（９）",U310="新加算Ⅴ（10）",U310="新加算Ⅴ（12）",U310="新加算Ⅴ（13）",U310="新加算Ⅴ（14）"),IF(OR(AP310="○",AP310="令和６年度中に満たす"),"入力済","未入力"),"")</f>
        <v/>
      </c>
      <c r="BI310" s="1321" t="str">
        <f>IF(OR(U310="新加算Ⅰ",U310="新加算Ⅱ",U310="新加算Ⅲ",U310="新加算Ⅴ（１）",U310="新加算Ⅴ（３）",U310="新加算Ⅴ（８）"),IF(OR(AQ310="○",AQ310="令和６年度中に満たす"),"入力済","未入力"),"")</f>
        <v/>
      </c>
      <c r="BJ310" s="1512"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493" t="str">
        <f>IF(OR(U310="新加算Ⅰ",U310="新加算Ⅴ（１）",U310="新加算Ⅴ（２）",U310="新加算Ⅴ（５）",U310="新加算Ⅴ（７）",U310="新加算Ⅴ（10）"),IF(AS310="","未入力","入力済"),"")</f>
        <v/>
      </c>
      <c r="BL310" s="543" t="str">
        <f>G310</f>
        <v/>
      </c>
    </row>
    <row r="311" spans="1:64" ht="15" customHeight="1">
      <c r="A311" s="1226"/>
      <c r="B311" s="1272"/>
      <c r="C311" s="1261"/>
      <c r="D311" s="1261"/>
      <c r="E311" s="1261"/>
      <c r="F311" s="1262"/>
      <c r="G311" s="1266"/>
      <c r="H311" s="1266"/>
      <c r="I311" s="1266"/>
      <c r="J311" s="1372"/>
      <c r="K311" s="1266"/>
      <c r="L311" s="1247"/>
      <c r="M311" s="1250"/>
      <c r="N311" s="1370" t="str">
        <f>IF('別紙様式2-2（４・５月分）'!Q237="","",'別紙様式2-2（４・５月分）'!Q237)</f>
        <v/>
      </c>
      <c r="O311" s="1367"/>
      <c r="P311" s="1383"/>
      <c r="Q311" s="1384"/>
      <c r="R311" s="1385"/>
      <c r="S311" s="1393"/>
      <c r="T311" s="1414"/>
      <c r="U311" s="1416"/>
      <c r="V311" s="1458"/>
      <c r="W311" s="1351"/>
      <c r="X311" s="1353"/>
      <c r="Y311" s="1355"/>
      <c r="Z311" s="1353"/>
      <c r="AA311" s="1355"/>
      <c r="AB311" s="1353"/>
      <c r="AC311" s="1355"/>
      <c r="AD311" s="1353"/>
      <c r="AE311" s="1355"/>
      <c r="AF311" s="1355"/>
      <c r="AG311" s="1355"/>
      <c r="AH311" s="1361"/>
      <c r="AI311" s="1482"/>
      <c r="AJ311" s="1484"/>
      <c r="AK311" s="1486"/>
      <c r="AL311" s="1434"/>
      <c r="AM311" s="1488"/>
      <c r="AN311" s="1503"/>
      <c r="AO311" s="1365"/>
      <c r="AP311" s="1404"/>
      <c r="AQ311" s="1404"/>
      <c r="AR311" s="1490"/>
      <c r="AS311" s="1492"/>
      <c r="AT311" s="1331" t="str">
        <f t="shared" si="270"/>
        <v/>
      </c>
      <c r="AU311" s="651"/>
      <c r="AV311" s="1493"/>
      <c r="AW311" s="1518" t="str">
        <f>IF('別紙様式2-2（４・５月分）'!O237="","",'別紙様式2-2（４・５月分）'!O237)</f>
        <v/>
      </c>
      <c r="AX311" s="1507"/>
      <c r="AY311" s="1506"/>
      <c r="AZ311" s="1321"/>
      <c r="BA311" s="1321"/>
      <c r="BB311" s="1321"/>
      <c r="BC311" s="1321"/>
      <c r="BD311" s="1321"/>
      <c r="BE311" s="1321"/>
      <c r="BF311" s="1321"/>
      <c r="BG311" s="1321"/>
      <c r="BH311" s="1321"/>
      <c r="BI311" s="1321"/>
      <c r="BJ311" s="1512"/>
      <c r="BK311" s="1493"/>
      <c r="BL311" s="543" t="str">
        <f>G310</f>
        <v/>
      </c>
    </row>
    <row r="312" spans="1:64" ht="15" customHeight="1">
      <c r="A312" s="1240"/>
      <c r="B312" s="1272"/>
      <c r="C312" s="1261"/>
      <c r="D312" s="1261"/>
      <c r="E312" s="1261"/>
      <c r="F312" s="1262"/>
      <c r="G312" s="1266"/>
      <c r="H312" s="1266"/>
      <c r="I312" s="1266"/>
      <c r="J312" s="1372"/>
      <c r="K312" s="1266"/>
      <c r="L312" s="1247"/>
      <c r="M312" s="1250"/>
      <c r="N312" s="1371"/>
      <c r="O312" s="1368"/>
      <c r="P312" s="1390" t="s">
        <v>2179</v>
      </c>
      <c r="Q312" s="1386" t="str">
        <f>IFERROR(VLOOKUP('別紙様式2-2（４・５月分）'!AR236,【参考】数式用!$AT$5:$AV$22,3,FALSE),"")</f>
        <v/>
      </c>
      <c r="R312" s="1388" t="s">
        <v>2190</v>
      </c>
      <c r="S312" s="1396" t="str">
        <f>IFERROR(VLOOKUP(K310,【参考】数式用!$A$5:$AB$27,MATCH(Q312,【参考】数式用!$B$4:$AB$4,0)+1,0),"")</f>
        <v/>
      </c>
      <c r="T312" s="1459" t="s">
        <v>217</v>
      </c>
      <c r="U312" s="1461"/>
      <c r="V312" s="1463" t="str">
        <f>IFERROR(VLOOKUP(K310,【参考】数式用!$A$5:$AB$27,MATCH(U312,【参考】数式用!$B$4:$AB$4,0)+1,0),"")</f>
        <v/>
      </c>
      <c r="W312" s="1465" t="s">
        <v>19</v>
      </c>
      <c r="X312" s="1508">
        <v>7</v>
      </c>
      <c r="Y312" s="1407" t="s">
        <v>10</v>
      </c>
      <c r="Z312" s="1508">
        <v>4</v>
      </c>
      <c r="AA312" s="1407" t="s">
        <v>45</v>
      </c>
      <c r="AB312" s="1508">
        <v>8</v>
      </c>
      <c r="AC312" s="1407" t="s">
        <v>10</v>
      </c>
      <c r="AD312" s="1508">
        <v>3</v>
      </c>
      <c r="AE312" s="1407" t="s">
        <v>13</v>
      </c>
      <c r="AF312" s="1407" t="s">
        <v>24</v>
      </c>
      <c r="AG312" s="1407">
        <f>IF(X312&gt;=1,(AB312*12+AD312)-(X312*12+Z312)+1,"")</f>
        <v>12</v>
      </c>
      <c r="AH312" s="1409" t="s">
        <v>38</v>
      </c>
      <c r="AI312" s="1496" t="str">
        <f>IFERROR(ROUNDDOWN(ROUND(L310*V312,0)*M310,0)*AG312,"")</f>
        <v/>
      </c>
      <c r="AJ312" s="1510" t="str">
        <f>IFERROR(ROUNDDOWN(ROUND((L310*(V312-AX310)),0)*M310,0)*AG312,"")</f>
        <v/>
      </c>
      <c r="AK312" s="1494">
        <f>IFERROR(IF(OR(N310="",N311="",N313=""),0,ROUNDDOWN(ROUNDDOWN(ROUND(L310*VLOOKUP(K310,【参考】数式用!$A$5:$AB$27,MATCH("新加算Ⅳ",【参考】数式用!$B$4:$AB$4,0)+1,0),0)*M310,0)*AG312*0.5,0)),"")</f>
        <v>0</v>
      </c>
      <c r="AL312" s="1435" t="str">
        <f t="shared" ref="AL312" si="308">IF(U312&lt;&gt;"","新規に適用","")</f>
        <v/>
      </c>
      <c r="AM312" s="1498">
        <f>IFERROR(IF(OR(N313="ベア加算",N313=""),0, IF(OR(U310="新加算Ⅰ",U310="新加算Ⅱ",U310="新加算Ⅲ",U310="新加算Ⅳ"),0,ROUNDDOWN(ROUND(L310*VLOOKUP(K310,【参考】数式用!$A$5:$I$27,MATCH("ベア加算",【参考】数式用!$B$4:$I$4,0)+1,0),0)*M310,0)*AG312)),"")</f>
        <v>0</v>
      </c>
      <c r="AN312" s="1356" t="str">
        <f t="shared" ref="AN312" si="309">IF(AM312=0,"",IF(AND(U312&lt;&gt;"",AN310=""),"新規に適用",IF(AND(U312&lt;&gt;"",AN310&lt;&gt;""),"継続で適用","")))</f>
        <v/>
      </c>
      <c r="AO312" s="1356" t="str">
        <f>IF(AND(U312&lt;&gt;"",AO310=""),"新規に適用",IF(AND(U312&lt;&gt;"",AO310&lt;&gt;""),"継続で適用",""))</f>
        <v/>
      </c>
      <c r="AP312" s="1358"/>
      <c r="AQ312" s="1356" t="str">
        <f>IF(AND(U312&lt;&gt;"",AQ310=""),"新規に適用",IF(AND(U312&lt;&gt;"",AQ310&lt;&gt;""),"継続で適用",""))</f>
        <v/>
      </c>
      <c r="AR312" s="1344" t="str">
        <f t="shared" si="293"/>
        <v/>
      </c>
      <c r="AS312" s="1356" t="str">
        <f>IF(AND(U312&lt;&gt;"",AS310=""),"新規に適用",IF(AND(U312&lt;&gt;"",AS310&lt;&gt;""),"継続で適用",""))</f>
        <v/>
      </c>
      <c r="AT312" s="1331"/>
      <c r="AU312" s="651"/>
      <c r="AV312" s="1493" t="str">
        <f>IF(K310&lt;&gt;"","V列に色付け","")</f>
        <v/>
      </c>
      <c r="AW312" s="1518"/>
      <c r="AX312" s="1507"/>
      <c r="AY312" s="163"/>
      <c r="AZ312" s="163"/>
      <c r="BA312" s="163"/>
      <c r="BB312" s="163"/>
      <c r="BC312" s="163"/>
      <c r="BD312" s="163"/>
      <c r="BE312" s="163"/>
      <c r="BF312" s="163"/>
      <c r="BG312" s="163"/>
      <c r="BH312" s="163"/>
      <c r="BI312" s="163"/>
      <c r="BJ312" s="163"/>
      <c r="BK312" s="163"/>
      <c r="BL312" s="543" t="str">
        <f>G310</f>
        <v/>
      </c>
    </row>
    <row r="313" spans="1:64" ht="30" customHeight="1" thickBot="1">
      <c r="A313" s="1227"/>
      <c r="B313" s="1376"/>
      <c r="C313" s="1377"/>
      <c r="D313" s="1377"/>
      <c r="E313" s="1377"/>
      <c r="F313" s="1378"/>
      <c r="G313" s="1267"/>
      <c r="H313" s="1267"/>
      <c r="I313" s="1267"/>
      <c r="J313" s="1373"/>
      <c r="K313" s="1267"/>
      <c r="L313" s="1248"/>
      <c r="M313" s="1251"/>
      <c r="N313" s="650" t="str">
        <f>IF('別紙様式2-2（４・５月分）'!Q238="","",'別紙様式2-2（４・５月分）'!Q238)</f>
        <v/>
      </c>
      <c r="O313" s="1369"/>
      <c r="P313" s="1391"/>
      <c r="Q313" s="1387"/>
      <c r="R313" s="1389"/>
      <c r="S313" s="1395"/>
      <c r="T313" s="1460"/>
      <c r="U313" s="1462"/>
      <c r="V313" s="1464"/>
      <c r="W313" s="1466"/>
      <c r="X313" s="1509"/>
      <c r="Y313" s="1408"/>
      <c r="Z313" s="1509"/>
      <c r="AA313" s="1408"/>
      <c r="AB313" s="1509"/>
      <c r="AC313" s="1408"/>
      <c r="AD313" s="1509"/>
      <c r="AE313" s="1408"/>
      <c r="AF313" s="1408"/>
      <c r="AG313" s="1408"/>
      <c r="AH313" s="1410"/>
      <c r="AI313" s="1497"/>
      <c r="AJ313" s="1511"/>
      <c r="AK313" s="1495"/>
      <c r="AL313" s="1436"/>
      <c r="AM313" s="1499"/>
      <c r="AN313" s="1357"/>
      <c r="AO313" s="1357"/>
      <c r="AP313" s="1359"/>
      <c r="AQ313" s="1357"/>
      <c r="AR313" s="1345"/>
      <c r="AS313" s="1357"/>
      <c r="AT313" s="581" t="str">
        <f t="shared" ref="AT313" si="310">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51"/>
      <c r="AV313" s="1493"/>
      <c r="AW313" s="652" t="str">
        <f>IF('別紙様式2-2（４・５月分）'!O238="","",'別紙様式2-2（４・５月分）'!O238)</f>
        <v/>
      </c>
      <c r="AX313" s="1507"/>
      <c r="AY313" s="163"/>
      <c r="AZ313" s="163"/>
      <c r="BA313" s="163"/>
      <c r="BB313" s="163"/>
      <c r="BC313" s="163"/>
      <c r="BD313" s="163"/>
      <c r="BE313" s="163"/>
      <c r="BF313" s="163"/>
      <c r="BG313" s="163"/>
      <c r="BH313" s="163"/>
      <c r="BI313" s="163"/>
      <c r="BJ313" s="163"/>
      <c r="BK313" s="163"/>
      <c r="BL313" s="543" t="str">
        <f>G310</f>
        <v/>
      </c>
    </row>
    <row r="314" spans="1:64" ht="30" customHeight="1">
      <c r="A314" s="1241">
        <v>76</v>
      </c>
      <c r="B314" s="1272" t="str">
        <f>IF(基本情報入力シート!C129="","",基本情報入力シート!C129)</f>
        <v/>
      </c>
      <c r="C314" s="1261"/>
      <c r="D314" s="1261"/>
      <c r="E314" s="1261"/>
      <c r="F314" s="1262"/>
      <c r="G314" s="1266" t="str">
        <f>IF(基本情報入力シート!M129="","",基本情報入力シート!M129)</f>
        <v/>
      </c>
      <c r="H314" s="1266" t="str">
        <f>IF(基本情報入力シート!R129="","",基本情報入力シート!R129)</f>
        <v/>
      </c>
      <c r="I314" s="1266" t="str">
        <f>IF(基本情報入力シート!W129="","",基本情報入力シート!W129)</f>
        <v/>
      </c>
      <c r="J314" s="1372" t="str">
        <f>IF(基本情報入力シート!X129="","",基本情報入力シート!X129)</f>
        <v/>
      </c>
      <c r="K314" s="1266" t="str">
        <f>IF(基本情報入力シート!Y129="","",基本情報入力シート!Y129)</f>
        <v/>
      </c>
      <c r="L314" s="1247" t="str">
        <f>IF(基本情報入力シート!AB129="","",基本情報入力シート!AB129)</f>
        <v/>
      </c>
      <c r="M314" s="1374" t="str">
        <f>IF(基本情報入力シート!AC129="","",基本情報入力シート!AC129)</f>
        <v/>
      </c>
      <c r="N314" s="647" t="str">
        <f>IF('別紙様式2-2（４・５月分）'!Q239="","",'別紙様式2-2（４・５月分）'!Q239)</f>
        <v/>
      </c>
      <c r="O314" s="1366" t="str">
        <f>IF(SUM('別紙様式2-2（４・５月分）'!R239:R241)=0,"",SUM('別紙様式2-2（４・５月分）'!R239:R241))</f>
        <v/>
      </c>
      <c r="P314" s="1380" t="str">
        <f>IFERROR(VLOOKUP('別紙様式2-2（４・５月分）'!AR239,【参考】数式用!$AT$5:$AU$22,2,FALSE),"")</f>
        <v/>
      </c>
      <c r="Q314" s="1381"/>
      <c r="R314" s="1382"/>
      <c r="S314" s="1392" t="str">
        <f>IFERROR(VLOOKUP(K314,【参考】数式用!$A$5:$AB$27,MATCH(P314,【参考】数式用!$B$4:$AB$4,0)+1,0),"")</f>
        <v/>
      </c>
      <c r="T314" s="1413" t="s">
        <v>2173</v>
      </c>
      <c r="U314" s="1415"/>
      <c r="V314" s="1457" t="str">
        <f>IFERROR(VLOOKUP(K314,【参考】数式用!$A$5:$AB$27,MATCH(U314,【参考】数式用!$B$4:$AB$4,0)+1,0),"")</f>
        <v/>
      </c>
      <c r="W314" s="1350" t="s">
        <v>19</v>
      </c>
      <c r="X314" s="1352">
        <v>6</v>
      </c>
      <c r="Y314" s="1354" t="s">
        <v>10</v>
      </c>
      <c r="Z314" s="1352">
        <v>6</v>
      </c>
      <c r="AA314" s="1354" t="s">
        <v>45</v>
      </c>
      <c r="AB314" s="1352">
        <v>7</v>
      </c>
      <c r="AC314" s="1354" t="s">
        <v>10</v>
      </c>
      <c r="AD314" s="1352">
        <v>3</v>
      </c>
      <c r="AE314" s="1354" t="s">
        <v>13</v>
      </c>
      <c r="AF314" s="1354" t="s">
        <v>24</v>
      </c>
      <c r="AG314" s="1354">
        <f>IF(X314&gt;=1,(AB314*12+AD314)-(X314*12+Z314)+1,"")</f>
        <v>10</v>
      </c>
      <c r="AH314" s="1360" t="s">
        <v>38</v>
      </c>
      <c r="AI314" s="1481" t="str">
        <f>IFERROR(ROUNDDOWN(ROUND(L314*V314,0)*M314,0)*AG314,"")</f>
        <v/>
      </c>
      <c r="AJ314" s="1483" t="str">
        <f>IFERROR(ROUNDDOWN(ROUND((L314*(V314-AX314)),0)*M314,0)*AG314,"")</f>
        <v/>
      </c>
      <c r="AK314" s="1485">
        <f>IFERROR(IF(OR(N314="",N315="",N317=""),0,ROUNDDOWN(ROUNDDOWN(ROUND(L314*VLOOKUP(K314,【参考】数式用!$A$5:$AB$27,MATCH("新加算Ⅳ",【参考】数式用!$B$4:$AB$4,0)+1,0),0)*M314,0)*AG314*0.5,0)),"")</f>
        <v>0</v>
      </c>
      <c r="AL314" s="1433"/>
      <c r="AM314" s="1487">
        <f>IFERROR(IF(OR(N317="ベア加算",N317=""),0, IF(OR(U314="新加算Ⅰ",U314="新加算Ⅱ",U314="新加算Ⅲ",U314="新加算Ⅳ"),ROUNDDOWN(ROUND(L314*VLOOKUP(K314,【参考】数式用!$A$5:$I$27,MATCH("ベア加算",【参考】数式用!$B$4:$I$4,0)+1,0),0)*M314,0)*AG314,0)),"")</f>
        <v>0</v>
      </c>
      <c r="AN314" s="1502"/>
      <c r="AO314" s="1364"/>
      <c r="AP314" s="1403"/>
      <c r="AQ314" s="1403"/>
      <c r="AR314" s="1489"/>
      <c r="AS314" s="1491"/>
      <c r="AT314" s="556" t="str">
        <f t="shared" si="268"/>
        <v/>
      </c>
      <c r="AU314" s="651"/>
      <c r="AV314" s="1493" t="str">
        <f>IF(K314&lt;&gt;"","V列に色付け","")</f>
        <v/>
      </c>
      <c r="AW314" s="652" t="str">
        <f>IF('別紙様式2-2（４・５月分）'!O239="","",'別紙様式2-2（４・５月分）'!O239)</f>
        <v/>
      </c>
      <c r="AX314" s="1507" t="str">
        <f>IF(SUM('別紙様式2-2（４・５月分）'!P239:P241)=0,"",SUM('別紙様式2-2（４・５月分）'!P239:P241))</f>
        <v/>
      </c>
      <c r="AY314" s="1506" t="str">
        <f>IFERROR(VLOOKUP(K314,【参考】数式用!$AJ$2:$AK$24,2,FALSE),"")</f>
        <v/>
      </c>
      <c r="AZ314" s="1321" t="s">
        <v>2098</v>
      </c>
      <c r="BA314" s="1321" t="s">
        <v>2099</v>
      </c>
      <c r="BB314" s="1321" t="s">
        <v>2100</v>
      </c>
      <c r="BC314" s="1321" t="s">
        <v>2101</v>
      </c>
      <c r="BD314" s="1321" t="str">
        <f>IF(AND(P314&lt;&gt;"新加算Ⅰ",P314&lt;&gt;"新加算Ⅱ",P314&lt;&gt;"新加算Ⅲ",P314&lt;&gt;"新加算Ⅳ"),P314,IF(Q316&lt;&gt;"",Q316,""))</f>
        <v/>
      </c>
      <c r="BE314" s="1321"/>
      <c r="BF314" s="1321" t="str">
        <f t="shared" ref="BF314" si="311">IF(AM314&lt;&gt;0,IF(AN314="○","入力済","未入力"),"")</f>
        <v/>
      </c>
      <c r="BG314" s="1321"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321" t="str">
        <f>IF(OR(U314="新加算Ⅴ（７）",U314="新加算Ⅴ（９）",U314="新加算Ⅴ（10）",U314="新加算Ⅴ（12）",U314="新加算Ⅴ（13）",U314="新加算Ⅴ（14）"),IF(OR(AP314="○",AP314="令和６年度中に満たす"),"入力済","未入力"),"")</f>
        <v/>
      </c>
      <c r="BI314" s="1321" t="str">
        <f>IF(OR(U314="新加算Ⅰ",U314="新加算Ⅱ",U314="新加算Ⅲ",U314="新加算Ⅴ（１）",U314="新加算Ⅴ（３）",U314="新加算Ⅴ（８）"),IF(OR(AQ314="○",AQ314="令和６年度中に満たす"),"入力済","未入力"),"")</f>
        <v/>
      </c>
      <c r="BJ314" s="1512"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493" t="str">
        <f>IF(OR(U314="新加算Ⅰ",U314="新加算Ⅴ（１）",U314="新加算Ⅴ（２）",U314="新加算Ⅴ（５）",U314="新加算Ⅴ（７）",U314="新加算Ⅴ（10）"),IF(AS314="","未入力","入力済"),"")</f>
        <v/>
      </c>
      <c r="BL314" s="543" t="str">
        <f>G314</f>
        <v/>
      </c>
    </row>
    <row r="315" spans="1:64" ht="15" customHeight="1">
      <c r="A315" s="1226"/>
      <c r="B315" s="1272"/>
      <c r="C315" s="1261"/>
      <c r="D315" s="1261"/>
      <c r="E315" s="1261"/>
      <c r="F315" s="1262"/>
      <c r="G315" s="1266"/>
      <c r="H315" s="1266"/>
      <c r="I315" s="1266"/>
      <c r="J315" s="1372"/>
      <c r="K315" s="1266"/>
      <c r="L315" s="1247"/>
      <c r="M315" s="1374"/>
      <c r="N315" s="1370" t="str">
        <f>IF('別紙様式2-2（４・５月分）'!Q240="","",'別紙様式2-2（４・５月分）'!Q240)</f>
        <v/>
      </c>
      <c r="O315" s="1367"/>
      <c r="P315" s="1383"/>
      <c r="Q315" s="1384"/>
      <c r="R315" s="1385"/>
      <c r="S315" s="1393"/>
      <c r="T315" s="1414"/>
      <c r="U315" s="1416"/>
      <c r="V315" s="1458"/>
      <c r="W315" s="1351"/>
      <c r="X315" s="1353"/>
      <c r="Y315" s="1355"/>
      <c r="Z315" s="1353"/>
      <c r="AA315" s="1355"/>
      <c r="AB315" s="1353"/>
      <c r="AC315" s="1355"/>
      <c r="AD315" s="1353"/>
      <c r="AE315" s="1355"/>
      <c r="AF315" s="1355"/>
      <c r="AG315" s="1355"/>
      <c r="AH315" s="1361"/>
      <c r="AI315" s="1482"/>
      <c r="AJ315" s="1484"/>
      <c r="AK315" s="1486"/>
      <c r="AL315" s="1434"/>
      <c r="AM315" s="1488"/>
      <c r="AN315" s="1503"/>
      <c r="AO315" s="1365"/>
      <c r="AP315" s="1404"/>
      <c r="AQ315" s="1404"/>
      <c r="AR315" s="1490"/>
      <c r="AS315" s="1492"/>
      <c r="AT315" s="1331" t="str">
        <f t="shared" si="270"/>
        <v/>
      </c>
      <c r="AU315" s="651"/>
      <c r="AV315" s="1493"/>
      <c r="AW315" s="1518" t="str">
        <f>IF('別紙様式2-2（４・５月分）'!O240="","",'別紙様式2-2（４・５月分）'!O240)</f>
        <v/>
      </c>
      <c r="AX315" s="1507"/>
      <c r="AY315" s="1506"/>
      <c r="AZ315" s="1321"/>
      <c r="BA315" s="1321"/>
      <c r="BB315" s="1321"/>
      <c r="BC315" s="1321"/>
      <c r="BD315" s="1321"/>
      <c r="BE315" s="1321"/>
      <c r="BF315" s="1321"/>
      <c r="BG315" s="1321"/>
      <c r="BH315" s="1321"/>
      <c r="BI315" s="1321"/>
      <c r="BJ315" s="1512"/>
      <c r="BK315" s="1493"/>
      <c r="BL315" s="543" t="str">
        <f>G314</f>
        <v/>
      </c>
    </row>
    <row r="316" spans="1:64" ht="15" customHeight="1">
      <c r="A316" s="1240"/>
      <c r="B316" s="1272"/>
      <c r="C316" s="1261"/>
      <c r="D316" s="1261"/>
      <c r="E316" s="1261"/>
      <c r="F316" s="1262"/>
      <c r="G316" s="1266"/>
      <c r="H316" s="1266"/>
      <c r="I316" s="1266"/>
      <c r="J316" s="1372"/>
      <c r="K316" s="1266"/>
      <c r="L316" s="1247"/>
      <c r="M316" s="1374"/>
      <c r="N316" s="1371"/>
      <c r="O316" s="1368"/>
      <c r="P316" s="1390" t="s">
        <v>2179</v>
      </c>
      <c r="Q316" s="1386" t="str">
        <f>IFERROR(VLOOKUP('別紙様式2-2（４・５月分）'!AR239,【参考】数式用!$AT$5:$AV$22,3,FALSE),"")</f>
        <v/>
      </c>
      <c r="R316" s="1388" t="s">
        <v>2190</v>
      </c>
      <c r="S316" s="1394" t="str">
        <f>IFERROR(VLOOKUP(K314,【参考】数式用!$A$5:$AB$27,MATCH(Q316,【参考】数式用!$B$4:$AB$4,0)+1,0),"")</f>
        <v/>
      </c>
      <c r="T316" s="1459" t="s">
        <v>217</v>
      </c>
      <c r="U316" s="1461"/>
      <c r="V316" s="1463" t="str">
        <f>IFERROR(VLOOKUP(K314,【参考】数式用!$A$5:$AB$27,MATCH(U316,【参考】数式用!$B$4:$AB$4,0)+1,0),"")</f>
        <v/>
      </c>
      <c r="W316" s="1465" t="s">
        <v>19</v>
      </c>
      <c r="X316" s="1508">
        <v>7</v>
      </c>
      <c r="Y316" s="1407" t="s">
        <v>10</v>
      </c>
      <c r="Z316" s="1508">
        <v>4</v>
      </c>
      <c r="AA316" s="1407" t="s">
        <v>45</v>
      </c>
      <c r="AB316" s="1508">
        <v>8</v>
      </c>
      <c r="AC316" s="1407" t="s">
        <v>10</v>
      </c>
      <c r="AD316" s="1508">
        <v>3</v>
      </c>
      <c r="AE316" s="1407" t="s">
        <v>13</v>
      </c>
      <c r="AF316" s="1407" t="s">
        <v>24</v>
      </c>
      <c r="AG316" s="1407">
        <f>IF(X316&gt;=1,(AB316*12+AD316)-(X316*12+Z316)+1,"")</f>
        <v>12</v>
      </c>
      <c r="AH316" s="1409" t="s">
        <v>38</v>
      </c>
      <c r="AI316" s="1496" t="str">
        <f>IFERROR(ROUNDDOWN(ROUND(L314*V316,0)*M314,0)*AG316,"")</f>
        <v/>
      </c>
      <c r="AJ316" s="1510" t="str">
        <f>IFERROR(ROUNDDOWN(ROUND((L314*(V316-AX314)),0)*M314,0)*AG316,"")</f>
        <v/>
      </c>
      <c r="AK316" s="1494">
        <f>IFERROR(IF(OR(N314="",N315="",N317=""),0,ROUNDDOWN(ROUNDDOWN(ROUND(L314*VLOOKUP(K314,【参考】数式用!$A$5:$AB$27,MATCH("新加算Ⅳ",【参考】数式用!$B$4:$AB$4,0)+1,0),0)*M314,0)*AG316*0.5,0)),"")</f>
        <v>0</v>
      </c>
      <c r="AL316" s="1435" t="str">
        <f t="shared" ref="AL316" si="312">IF(U316&lt;&gt;"","新規に適用","")</f>
        <v/>
      </c>
      <c r="AM316" s="1498">
        <f>IFERROR(IF(OR(N317="ベア加算",N317=""),0, IF(OR(U314="新加算Ⅰ",U314="新加算Ⅱ",U314="新加算Ⅲ",U314="新加算Ⅳ"),0,ROUNDDOWN(ROUND(L314*VLOOKUP(K314,【参考】数式用!$A$5:$I$27,MATCH("ベア加算",【参考】数式用!$B$4:$I$4,0)+1,0),0)*M314,0)*AG316)),"")</f>
        <v>0</v>
      </c>
      <c r="AN316" s="1356" t="str">
        <f t="shared" ref="AN316" si="313">IF(AM316=0,"",IF(AND(U316&lt;&gt;"",AN314=""),"新規に適用",IF(AND(U316&lt;&gt;"",AN314&lt;&gt;""),"継続で適用","")))</f>
        <v/>
      </c>
      <c r="AO316" s="1356" t="str">
        <f>IF(AND(U316&lt;&gt;"",AO314=""),"新規に適用",IF(AND(U316&lt;&gt;"",AO314&lt;&gt;""),"継続で適用",""))</f>
        <v/>
      </c>
      <c r="AP316" s="1358"/>
      <c r="AQ316" s="1356" t="str">
        <f>IF(AND(U316&lt;&gt;"",AQ314=""),"新規に適用",IF(AND(U316&lt;&gt;"",AQ314&lt;&gt;""),"継続で適用",""))</f>
        <v/>
      </c>
      <c r="AR316" s="1344" t="str">
        <f t="shared" si="293"/>
        <v/>
      </c>
      <c r="AS316" s="1356" t="str">
        <f>IF(AND(U316&lt;&gt;"",AS314=""),"新規に適用",IF(AND(U316&lt;&gt;"",AS314&lt;&gt;""),"継続で適用",""))</f>
        <v/>
      </c>
      <c r="AT316" s="1331"/>
      <c r="AU316" s="651"/>
      <c r="AV316" s="1493" t="str">
        <f>IF(K314&lt;&gt;"","V列に色付け","")</f>
        <v/>
      </c>
      <c r="AW316" s="1518"/>
      <c r="AX316" s="1507"/>
      <c r="AY316" s="163"/>
      <c r="AZ316" s="163"/>
      <c r="BA316" s="163"/>
      <c r="BB316" s="163"/>
      <c r="BC316" s="163"/>
      <c r="BD316" s="163"/>
      <c r="BE316" s="163"/>
      <c r="BF316" s="163"/>
      <c r="BG316" s="163"/>
      <c r="BH316" s="163"/>
      <c r="BI316" s="163"/>
      <c r="BJ316" s="163"/>
      <c r="BK316" s="163"/>
      <c r="BL316" s="543" t="str">
        <f>G314</f>
        <v/>
      </c>
    </row>
    <row r="317" spans="1:64" ht="30" customHeight="1" thickBot="1">
      <c r="A317" s="1227"/>
      <c r="B317" s="1376"/>
      <c r="C317" s="1377"/>
      <c r="D317" s="1377"/>
      <c r="E317" s="1377"/>
      <c r="F317" s="1378"/>
      <c r="G317" s="1267"/>
      <c r="H317" s="1267"/>
      <c r="I317" s="1267"/>
      <c r="J317" s="1373"/>
      <c r="K317" s="1267"/>
      <c r="L317" s="1248"/>
      <c r="M317" s="1375"/>
      <c r="N317" s="650" t="str">
        <f>IF('別紙様式2-2（４・５月分）'!Q241="","",'別紙様式2-2（４・５月分）'!Q241)</f>
        <v/>
      </c>
      <c r="O317" s="1369"/>
      <c r="P317" s="1391"/>
      <c r="Q317" s="1387"/>
      <c r="R317" s="1389"/>
      <c r="S317" s="1395"/>
      <c r="T317" s="1460"/>
      <c r="U317" s="1462"/>
      <c r="V317" s="1464"/>
      <c r="W317" s="1466"/>
      <c r="X317" s="1509"/>
      <c r="Y317" s="1408"/>
      <c r="Z317" s="1509"/>
      <c r="AA317" s="1408"/>
      <c r="AB317" s="1509"/>
      <c r="AC317" s="1408"/>
      <c r="AD317" s="1509"/>
      <c r="AE317" s="1408"/>
      <c r="AF317" s="1408"/>
      <c r="AG317" s="1408"/>
      <c r="AH317" s="1410"/>
      <c r="AI317" s="1497"/>
      <c r="AJ317" s="1511"/>
      <c r="AK317" s="1495"/>
      <c r="AL317" s="1436"/>
      <c r="AM317" s="1499"/>
      <c r="AN317" s="1357"/>
      <c r="AO317" s="1357"/>
      <c r="AP317" s="1359"/>
      <c r="AQ317" s="1357"/>
      <c r="AR317" s="1345"/>
      <c r="AS317" s="1357"/>
      <c r="AT317" s="581" t="str">
        <f t="shared" ref="AT317" si="314">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51"/>
      <c r="AV317" s="1493"/>
      <c r="AW317" s="652" t="str">
        <f>IF('別紙様式2-2（４・５月分）'!O241="","",'別紙様式2-2（４・５月分）'!O241)</f>
        <v/>
      </c>
      <c r="AX317" s="1507"/>
      <c r="AY317" s="163"/>
      <c r="AZ317" s="163"/>
      <c r="BA317" s="163"/>
      <c r="BB317" s="163"/>
      <c r="BC317" s="163"/>
      <c r="BD317" s="163"/>
      <c r="BE317" s="163"/>
      <c r="BF317" s="163"/>
      <c r="BG317" s="163"/>
      <c r="BH317" s="163"/>
      <c r="BI317" s="163"/>
      <c r="BJ317" s="163"/>
      <c r="BK317" s="163"/>
      <c r="BL317" s="543" t="str">
        <f>G314</f>
        <v/>
      </c>
    </row>
    <row r="318" spans="1:64" ht="30" customHeight="1">
      <c r="A318" s="1225">
        <v>77</v>
      </c>
      <c r="B318" s="1271" t="str">
        <f>IF(基本情報入力シート!C130="","",基本情報入力シート!C130)</f>
        <v/>
      </c>
      <c r="C318" s="1259"/>
      <c r="D318" s="1259"/>
      <c r="E318" s="1259"/>
      <c r="F318" s="1260"/>
      <c r="G318" s="1265" t="str">
        <f>IF(基本情報入力シート!M130="","",基本情報入力シート!M130)</f>
        <v/>
      </c>
      <c r="H318" s="1265" t="str">
        <f>IF(基本情報入力シート!R130="","",基本情報入力シート!R130)</f>
        <v/>
      </c>
      <c r="I318" s="1265" t="str">
        <f>IF(基本情報入力シート!W130="","",基本情報入力シート!W130)</f>
        <v/>
      </c>
      <c r="J318" s="1379" t="str">
        <f>IF(基本情報入力シート!X130="","",基本情報入力シート!X130)</f>
        <v/>
      </c>
      <c r="K318" s="1265" t="str">
        <f>IF(基本情報入力シート!Y130="","",基本情報入力シート!Y130)</f>
        <v/>
      </c>
      <c r="L318" s="1246" t="str">
        <f>IF(基本情報入力シート!AB130="","",基本情報入力シート!AB130)</f>
        <v/>
      </c>
      <c r="M318" s="1249" t="str">
        <f>IF(基本情報入力シート!AC130="","",基本情報入力シート!AC130)</f>
        <v/>
      </c>
      <c r="N318" s="647" t="str">
        <f>IF('別紙様式2-2（４・５月分）'!Q242="","",'別紙様式2-2（４・５月分）'!Q242)</f>
        <v/>
      </c>
      <c r="O318" s="1366" t="str">
        <f>IF(SUM('別紙様式2-2（４・５月分）'!R242:R244)=0,"",SUM('別紙様式2-2（４・５月分）'!R242:R244))</f>
        <v/>
      </c>
      <c r="P318" s="1380" t="str">
        <f>IFERROR(VLOOKUP('別紙様式2-2（４・５月分）'!AR242,【参考】数式用!$AT$5:$AU$22,2,FALSE),"")</f>
        <v/>
      </c>
      <c r="Q318" s="1381"/>
      <c r="R318" s="1382"/>
      <c r="S318" s="1392" t="str">
        <f>IFERROR(VLOOKUP(K318,【参考】数式用!$A$5:$AB$27,MATCH(P318,【参考】数式用!$B$4:$AB$4,0)+1,0),"")</f>
        <v/>
      </c>
      <c r="T318" s="1413" t="s">
        <v>2173</v>
      </c>
      <c r="U318" s="1415"/>
      <c r="V318" s="1457" t="str">
        <f>IFERROR(VLOOKUP(K318,【参考】数式用!$A$5:$AB$27,MATCH(U318,【参考】数式用!$B$4:$AB$4,0)+1,0),"")</f>
        <v/>
      </c>
      <c r="W318" s="1350" t="s">
        <v>19</v>
      </c>
      <c r="X318" s="1352">
        <v>6</v>
      </c>
      <c r="Y318" s="1354" t="s">
        <v>10</v>
      </c>
      <c r="Z318" s="1352">
        <v>6</v>
      </c>
      <c r="AA318" s="1354" t="s">
        <v>45</v>
      </c>
      <c r="AB318" s="1352">
        <v>7</v>
      </c>
      <c r="AC318" s="1354" t="s">
        <v>10</v>
      </c>
      <c r="AD318" s="1352">
        <v>3</v>
      </c>
      <c r="AE318" s="1354" t="s">
        <v>13</v>
      </c>
      <c r="AF318" s="1354" t="s">
        <v>24</v>
      </c>
      <c r="AG318" s="1354">
        <f>IF(X318&gt;=1,(AB318*12+AD318)-(X318*12+Z318)+1,"")</f>
        <v>10</v>
      </c>
      <c r="AH318" s="1360" t="s">
        <v>38</v>
      </c>
      <c r="AI318" s="1481" t="str">
        <f>IFERROR(ROUNDDOWN(ROUND(L318*V318,0)*M318,0)*AG318,"")</f>
        <v/>
      </c>
      <c r="AJ318" s="1483" t="str">
        <f>IFERROR(ROUNDDOWN(ROUND((L318*(V318-AX318)),0)*M318,0)*AG318,"")</f>
        <v/>
      </c>
      <c r="AK318" s="1485">
        <f>IFERROR(IF(OR(N318="",N319="",N321=""),0,ROUNDDOWN(ROUNDDOWN(ROUND(L318*VLOOKUP(K318,【参考】数式用!$A$5:$AB$27,MATCH("新加算Ⅳ",【参考】数式用!$B$4:$AB$4,0)+1,0),0)*M318,0)*AG318*0.5,0)),"")</f>
        <v>0</v>
      </c>
      <c r="AL318" s="1433"/>
      <c r="AM318" s="1487">
        <f>IFERROR(IF(OR(N321="ベア加算",N321=""),0, IF(OR(U318="新加算Ⅰ",U318="新加算Ⅱ",U318="新加算Ⅲ",U318="新加算Ⅳ"),ROUNDDOWN(ROUND(L318*VLOOKUP(K318,【参考】数式用!$A$5:$I$27,MATCH("ベア加算",【参考】数式用!$B$4:$I$4,0)+1,0),0)*M318,0)*AG318,0)),"")</f>
        <v>0</v>
      </c>
      <c r="AN318" s="1502"/>
      <c r="AO318" s="1364"/>
      <c r="AP318" s="1403"/>
      <c r="AQ318" s="1403"/>
      <c r="AR318" s="1489"/>
      <c r="AS318" s="1491"/>
      <c r="AT318" s="556" t="str">
        <f t="shared" si="268"/>
        <v/>
      </c>
      <c r="AU318" s="651"/>
      <c r="AV318" s="1493" t="str">
        <f>IF(K318&lt;&gt;"","V列に色付け","")</f>
        <v/>
      </c>
      <c r="AW318" s="652" t="str">
        <f>IF('別紙様式2-2（４・５月分）'!O242="","",'別紙様式2-2（４・５月分）'!O242)</f>
        <v/>
      </c>
      <c r="AX318" s="1507" t="str">
        <f>IF(SUM('別紙様式2-2（４・５月分）'!P242:P244)=0,"",SUM('別紙様式2-2（４・５月分）'!P242:P244))</f>
        <v/>
      </c>
      <c r="AY318" s="1506" t="str">
        <f>IFERROR(VLOOKUP(K318,【参考】数式用!$AJ$2:$AK$24,2,FALSE),"")</f>
        <v/>
      </c>
      <c r="AZ318" s="1321" t="s">
        <v>2098</v>
      </c>
      <c r="BA318" s="1321" t="s">
        <v>2099</v>
      </c>
      <c r="BB318" s="1321" t="s">
        <v>2100</v>
      </c>
      <c r="BC318" s="1321" t="s">
        <v>2101</v>
      </c>
      <c r="BD318" s="1321" t="str">
        <f>IF(AND(P318&lt;&gt;"新加算Ⅰ",P318&lt;&gt;"新加算Ⅱ",P318&lt;&gt;"新加算Ⅲ",P318&lt;&gt;"新加算Ⅳ"),P318,IF(Q320&lt;&gt;"",Q320,""))</f>
        <v/>
      </c>
      <c r="BE318" s="1321"/>
      <c r="BF318" s="1321" t="str">
        <f t="shared" ref="BF318" si="315">IF(AM318&lt;&gt;0,IF(AN318="○","入力済","未入力"),"")</f>
        <v/>
      </c>
      <c r="BG318" s="1321"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321" t="str">
        <f>IF(OR(U318="新加算Ⅴ（７）",U318="新加算Ⅴ（９）",U318="新加算Ⅴ（10）",U318="新加算Ⅴ（12）",U318="新加算Ⅴ（13）",U318="新加算Ⅴ（14）"),IF(OR(AP318="○",AP318="令和６年度中に満たす"),"入力済","未入力"),"")</f>
        <v/>
      </c>
      <c r="BI318" s="1321" t="str">
        <f>IF(OR(U318="新加算Ⅰ",U318="新加算Ⅱ",U318="新加算Ⅲ",U318="新加算Ⅴ（１）",U318="新加算Ⅴ（３）",U318="新加算Ⅴ（８）"),IF(OR(AQ318="○",AQ318="令和６年度中に満たす"),"入力済","未入力"),"")</f>
        <v/>
      </c>
      <c r="BJ318" s="1512"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493" t="str">
        <f>IF(OR(U318="新加算Ⅰ",U318="新加算Ⅴ（１）",U318="新加算Ⅴ（２）",U318="新加算Ⅴ（５）",U318="新加算Ⅴ（７）",U318="新加算Ⅴ（10）"),IF(AS318="","未入力","入力済"),"")</f>
        <v/>
      </c>
      <c r="BL318" s="543" t="str">
        <f>G318</f>
        <v/>
      </c>
    </row>
    <row r="319" spans="1:64" ht="15" customHeight="1">
      <c r="A319" s="1226"/>
      <c r="B319" s="1272"/>
      <c r="C319" s="1261"/>
      <c r="D319" s="1261"/>
      <c r="E319" s="1261"/>
      <c r="F319" s="1262"/>
      <c r="G319" s="1266"/>
      <c r="H319" s="1266"/>
      <c r="I319" s="1266"/>
      <c r="J319" s="1372"/>
      <c r="K319" s="1266"/>
      <c r="L319" s="1247"/>
      <c r="M319" s="1250"/>
      <c r="N319" s="1370" t="str">
        <f>IF('別紙様式2-2（４・５月分）'!Q243="","",'別紙様式2-2（４・５月分）'!Q243)</f>
        <v/>
      </c>
      <c r="O319" s="1367"/>
      <c r="P319" s="1383"/>
      <c r="Q319" s="1384"/>
      <c r="R319" s="1385"/>
      <c r="S319" s="1393"/>
      <c r="T319" s="1414"/>
      <c r="U319" s="1416"/>
      <c r="V319" s="1458"/>
      <c r="W319" s="1351"/>
      <c r="X319" s="1353"/>
      <c r="Y319" s="1355"/>
      <c r="Z319" s="1353"/>
      <c r="AA319" s="1355"/>
      <c r="AB319" s="1353"/>
      <c r="AC319" s="1355"/>
      <c r="AD319" s="1353"/>
      <c r="AE319" s="1355"/>
      <c r="AF319" s="1355"/>
      <c r="AG319" s="1355"/>
      <c r="AH319" s="1361"/>
      <c r="AI319" s="1482"/>
      <c r="AJ319" s="1484"/>
      <c r="AK319" s="1486"/>
      <c r="AL319" s="1434"/>
      <c r="AM319" s="1488"/>
      <c r="AN319" s="1503"/>
      <c r="AO319" s="1365"/>
      <c r="AP319" s="1404"/>
      <c r="AQ319" s="1404"/>
      <c r="AR319" s="1490"/>
      <c r="AS319" s="1492"/>
      <c r="AT319" s="1331" t="str">
        <f t="shared" si="270"/>
        <v/>
      </c>
      <c r="AU319" s="651"/>
      <c r="AV319" s="1493"/>
      <c r="AW319" s="1518" t="str">
        <f>IF('別紙様式2-2（４・５月分）'!O243="","",'別紙様式2-2（４・５月分）'!O243)</f>
        <v/>
      </c>
      <c r="AX319" s="1507"/>
      <c r="AY319" s="1506"/>
      <c r="AZ319" s="1321"/>
      <c r="BA319" s="1321"/>
      <c r="BB319" s="1321"/>
      <c r="BC319" s="1321"/>
      <c r="BD319" s="1321"/>
      <c r="BE319" s="1321"/>
      <c r="BF319" s="1321"/>
      <c r="BG319" s="1321"/>
      <c r="BH319" s="1321"/>
      <c r="BI319" s="1321"/>
      <c r="BJ319" s="1512"/>
      <c r="BK319" s="1493"/>
      <c r="BL319" s="543" t="str">
        <f>G318</f>
        <v/>
      </c>
    </row>
    <row r="320" spans="1:64" ht="15" customHeight="1">
      <c r="A320" s="1240"/>
      <c r="B320" s="1272"/>
      <c r="C320" s="1261"/>
      <c r="D320" s="1261"/>
      <c r="E320" s="1261"/>
      <c r="F320" s="1262"/>
      <c r="G320" s="1266"/>
      <c r="H320" s="1266"/>
      <c r="I320" s="1266"/>
      <c r="J320" s="1372"/>
      <c r="K320" s="1266"/>
      <c r="L320" s="1247"/>
      <c r="M320" s="1250"/>
      <c r="N320" s="1371"/>
      <c r="O320" s="1368"/>
      <c r="P320" s="1390" t="s">
        <v>2179</v>
      </c>
      <c r="Q320" s="1386" t="str">
        <f>IFERROR(VLOOKUP('別紙様式2-2（４・５月分）'!AR242,【参考】数式用!$AT$5:$AV$22,3,FALSE),"")</f>
        <v/>
      </c>
      <c r="R320" s="1388" t="s">
        <v>2190</v>
      </c>
      <c r="S320" s="1396" t="str">
        <f>IFERROR(VLOOKUP(K318,【参考】数式用!$A$5:$AB$27,MATCH(Q320,【参考】数式用!$B$4:$AB$4,0)+1,0),"")</f>
        <v/>
      </c>
      <c r="T320" s="1459" t="s">
        <v>217</v>
      </c>
      <c r="U320" s="1461"/>
      <c r="V320" s="1463" t="str">
        <f>IFERROR(VLOOKUP(K318,【参考】数式用!$A$5:$AB$27,MATCH(U320,【参考】数式用!$B$4:$AB$4,0)+1,0),"")</f>
        <v/>
      </c>
      <c r="W320" s="1465" t="s">
        <v>19</v>
      </c>
      <c r="X320" s="1508">
        <v>7</v>
      </c>
      <c r="Y320" s="1407" t="s">
        <v>10</v>
      </c>
      <c r="Z320" s="1508">
        <v>4</v>
      </c>
      <c r="AA320" s="1407" t="s">
        <v>45</v>
      </c>
      <c r="AB320" s="1508">
        <v>8</v>
      </c>
      <c r="AC320" s="1407" t="s">
        <v>10</v>
      </c>
      <c r="AD320" s="1508">
        <v>3</v>
      </c>
      <c r="AE320" s="1407" t="s">
        <v>13</v>
      </c>
      <c r="AF320" s="1407" t="s">
        <v>24</v>
      </c>
      <c r="AG320" s="1407">
        <f>IF(X320&gt;=1,(AB320*12+AD320)-(X320*12+Z320)+1,"")</f>
        <v>12</v>
      </c>
      <c r="AH320" s="1409" t="s">
        <v>38</v>
      </c>
      <c r="AI320" s="1496" t="str">
        <f>IFERROR(ROUNDDOWN(ROUND(L318*V320,0)*M318,0)*AG320,"")</f>
        <v/>
      </c>
      <c r="AJ320" s="1510" t="str">
        <f>IFERROR(ROUNDDOWN(ROUND((L318*(V320-AX318)),0)*M318,0)*AG320,"")</f>
        <v/>
      </c>
      <c r="AK320" s="1494">
        <f>IFERROR(IF(OR(N318="",N319="",N321=""),0,ROUNDDOWN(ROUNDDOWN(ROUND(L318*VLOOKUP(K318,【参考】数式用!$A$5:$AB$27,MATCH("新加算Ⅳ",【参考】数式用!$B$4:$AB$4,0)+1,0),0)*M318,0)*AG320*0.5,0)),"")</f>
        <v>0</v>
      </c>
      <c r="AL320" s="1435" t="str">
        <f t="shared" ref="AL320" si="316">IF(U320&lt;&gt;"","新規に適用","")</f>
        <v/>
      </c>
      <c r="AM320" s="1498">
        <f>IFERROR(IF(OR(N321="ベア加算",N321=""),0, IF(OR(U318="新加算Ⅰ",U318="新加算Ⅱ",U318="新加算Ⅲ",U318="新加算Ⅳ"),0,ROUNDDOWN(ROUND(L318*VLOOKUP(K318,【参考】数式用!$A$5:$I$27,MATCH("ベア加算",【参考】数式用!$B$4:$I$4,0)+1,0),0)*M318,0)*AG320)),"")</f>
        <v>0</v>
      </c>
      <c r="AN320" s="1356" t="str">
        <f t="shared" ref="AN320" si="317">IF(AM320=0,"",IF(AND(U320&lt;&gt;"",AN318=""),"新規に適用",IF(AND(U320&lt;&gt;"",AN318&lt;&gt;""),"継続で適用","")))</f>
        <v/>
      </c>
      <c r="AO320" s="1356" t="str">
        <f>IF(AND(U320&lt;&gt;"",AO318=""),"新規に適用",IF(AND(U320&lt;&gt;"",AO318&lt;&gt;""),"継続で適用",""))</f>
        <v/>
      </c>
      <c r="AP320" s="1358"/>
      <c r="AQ320" s="1356" t="str">
        <f>IF(AND(U320&lt;&gt;"",AQ318=""),"新規に適用",IF(AND(U320&lt;&gt;"",AQ318&lt;&gt;""),"継続で適用",""))</f>
        <v/>
      </c>
      <c r="AR320" s="1344" t="str">
        <f t="shared" si="293"/>
        <v/>
      </c>
      <c r="AS320" s="1356" t="str">
        <f>IF(AND(U320&lt;&gt;"",AS318=""),"新規に適用",IF(AND(U320&lt;&gt;"",AS318&lt;&gt;""),"継続で適用",""))</f>
        <v/>
      </c>
      <c r="AT320" s="1331"/>
      <c r="AU320" s="651"/>
      <c r="AV320" s="1493" t="str">
        <f>IF(K318&lt;&gt;"","V列に色付け","")</f>
        <v/>
      </c>
      <c r="AW320" s="1518"/>
      <c r="AX320" s="1507"/>
      <c r="AY320" s="163"/>
      <c r="AZ320" s="163"/>
      <c r="BA320" s="163"/>
      <c r="BB320" s="163"/>
      <c r="BC320" s="163"/>
      <c r="BD320" s="163"/>
      <c r="BE320" s="163"/>
      <c r="BF320" s="163"/>
      <c r="BG320" s="163"/>
      <c r="BH320" s="163"/>
      <c r="BI320" s="163"/>
      <c r="BJ320" s="163"/>
      <c r="BK320" s="163"/>
      <c r="BL320" s="543" t="str">
        <f>G318</f>
        <v/>
      </c>
    </row>
    <row r="321" spans="1:64" ht="30" customHeight="1" thickBot="1">
      <c r="A321" s="1227"/>
      <c r="B321" s="1376"/>
      <c r="C321" s="1377"/>
      <c r="D321" s="1377"/>
      <c r="E321" s="1377"/>
      <c r="F321" s="1378"/>
      <c r="G321" s="1267"/>
      <c r="H321" s="1267"/>
      <c r="I321" s="1267"/>
      <c r="J321" s="1373"/>
      <c r="K321" s="1267"/>
      <c r="L321" s="1248"/>
      <c r="M321" s="1251"/>
      <c r="N321" s="650" t="str">
        <f>IF('別紙様式2-2（４・５月分）'!Q244="","",'別紙様式2-2（４・５月分）'!Q244)</f>
        <v/>
      </c>
      <c r="O321" s="1369"/>
      <c r="P321" s="1391"/>
      <c r="Q321" s="1387"/>
      <c r="R321" s="1389"/>
      <c r="S321" s="1395"/>
      <c r="T321" s="1460"/>
      <c r="U321" s="1462"/>
      <c r="V321" s="1464"/>
      <c r="W321" s="1466"/>
      <c r="X321" s="1509"/>
      <c r="Y321" s="1408"/>
      <c r="Z321" s="1509"/>
      <c r="AA321" s="1408"/>
      <c r="AB321" s="1509"/>
      <c r="AC321" s="1408"/>
      <c r="AD321" s="1509"/>
      <c r="AE321" s="1408"/>
      <c r="AF321" s="1408"/>
      <c r="AG321" s="1408"/>
      <c r="AH321" s="1410"/>
      <c r="AI321" s="1497"/>
      <c r="AJ321" s="1511"/>
      <c r="AK321" s="1495"/>
      <c r="AL321" s="1436"/>
      <c r="AM321" s="1499"/>
      <c r="AN321" s="1357"/>
      <c r="AO321" s="1357"/>
      <c r="AP321" s="1359"/>
      <c r="AQ321" s="1357"/>
      <c r="AR321" s="1345"/>
      <c r="AS321" s="1357"/>
      <c r="AT321" s="581" t="str">
        <f t="shared" ref="AT321" si="318">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51"/>
      <c r="AV321" s="1493"/>
      <c r="AW321" s="652" t="str">
        <f>IF('別紙様式2-2（４・５月分）'!O244="","",'別紙様式2-2（４・５月分）'!O244)</f>
        <v/>
      </c>
      <c r="AX321" s="1507"/>
      <c r="AY321" s="163"/>
      <c r="AZ321" s="163"/>
      <c r="BA321" s="163"/>
      <c r="BB321" s="163"/>
      <c r="BC321" s="163"/>
      <c r="BD321" s="163"/>
      <c r="BE321" s="163"/>
      <c r="BF321" s="163"/>
      <c r="BG321" s="163"/>
      <c r="BH321" s="163"/>
      <c r="BI321" s="163"/>
      <c r="BJ321" s="163"/>
      <c r="BK321" s="163"/>
      <c r="BL321" s="543" t="str">
        <f>G318</f>
        <v/>
      </c>
    </row>
    <row r="322" spans="1:64" ht="30" customHeight="1">
      <c r="A322" s="1241">
        <v>78</v>
      </c>
      <c r="B322" s="1272" t="str">
        <f>IF(基本情報入力シート!C131="","",基本情報入力シート!C131)</f>
        <v/>
      </c>
      <c r="C322" s="1261"/>
      <c r="D322" s="1261"/>
      <c r="E322" s="1261"/>
      <c r="F322" s="1262"/>
      <c r="G322" s="1266" t="str">
        <f>IF(基本情報入力シート!M131="","",基本情報入力シート!M131)</f>
        <v/>
      </c>
      <c r="H322" s="1266" t="str">
        <f>IF(基本情報入力シート!R131="","",基本情報入力シート!R131)</f>
        <v/>
      </c>
      <c r="I322" s="1266" t="str">
        <f>IF(基本情報入力シート!W131="","",基本情報入力シート!W131)</f>
        <v/>
      </c>
      <c r="J322" s="1372" t="str">
        <f>IF(基本情報入力シート!X131="","",基本情報入力シート!X131)</f>
        <v/>
      </c>
      <c r="K322" s="1266" t="str">
        <f>IF(基本情報入力シート!Y131="","",基本情報入力シート!Y131)</f>
        <v/>
      </c>
      <c r="L322" s="1247" t="str">
        <f>IF(基本情報入力シート!AB131="","",基本情報入力シート!AB131)</f>
        <v/>
      </c>
      <c r="M322" s="1374" t="str">
        <f>IF(基本情報入力シート!AC131="","",基本情報入力シート!AC131)</f>
        <v/>
      </c>
      <c r="N322" s="647" t="str">
        <f>IF('別紙様式2-2（４・５月分）'!Q245="","",'別紙様式2-2（４・５月分）'!Q245)</f>
        <v/>
      </c>
      <c r="O322" s="1366" t="str">
        <f>IF(SUM('別紙様式2-2（４・５月分）'!R245:R247)=0,"",SUM('別紙様式2-2（４・５月分）'!R245:R247))</f>
        <v/>
      </c>
      <c r="P322" s="1380" t="str">
        <f>IFERROR(VLOOKUP('別紙様式2-2（４・５月分）'!AR245,【参考】数式用!$AT$5:$AU$22,2,FALSE),"")</f>
        <v/>
      </c>
      <c r="Q322" s="1381"/>
      <c r="R322" s="1382"/>
      <c r="S322" s="1392" t="str">
        <f>IFERROR(VLOOKUP(K322,【参考】数式用!$A$5:$AB$27,MATCH(P322,【参考】数式用!$B$4:$AB$4,0)+1,0),"")</f>
        <v/>
      </c>
      <c r="T322" s="1413" t="s">
        <v>2173</v>
      </c>
      <c r="U322" s="1415"/>
      <c r="V322" s="1457" t="str">
        <f>IFERROR(VLOOKUP(K322,【参考】数式用!$A$5:$AB$27,MATCH(U322,【参考】数式用!$B$4:$AB$4,0)+1,0),"")</f>
        <v/>
      </c>
      <c r="W322" s="1350" t="s">
        <v>19</v>
      </c>
      <c r="X322" s="1352">
        <v>6</v>
      </c>
      <c r="Y322" s="1354" t="s">
        <v>10</v>
      </c>
      <c r="Z322" s="1352">
        <v>6</v>
      </c>
      <c r="AA322" s="1354" t="s">
        <v>45</v>
      </c>
      <c r="AB322" s="1352">
        <v>7</v>
      </c>
      <c r="AC322" s="1354" t="s">
        <v>10</v>
      </c>
      <c r="AD322" s="1352">
        <v>3</v>
      </c>
      <c r="AE322" s="1354" t="s">
        <v>13</v>
      </c>
      <c r="AF322" s="1354" t="s">
        <v>24</v>
      </c>
      <c r="AG322" s="1354">
        <f>IF(X322&gt;=1,(AB322*12+AD322)-(X322*12+Z322)+1,"")</f>
        <v>10</v>
      </c>
      <c r="AH322" s="1360" t="s">
        <v>38</v>
      </c>
      <c r="AI322" s="1481" t="str">
        <f>IFERROR(ROUNDDOWN(ROUND(L322*V322,0)*M322,0)*AG322,"")</f>
        <v/>
      </c>
      <c r="AJ322" s="1483" t="str">
        <f>IFERROR(ROUNDDOWN(ROUND((L322*(V322-AX322)),0)*M322,0)*AG322,"")</f>
        <v/>
      </c>
      <c r="AK322" s="1485">
        <f>IFERROR(IF(OR(N322="",N323="",N325=""),0,ROUNDDOWN(ROUNDDOWN(ROUND(L322*VLOOKUP(K322,【参考】数式用!$A$5:$AB$27,MATCH("新加算Ⅳ",【参考】数式用!$B$4:$AB$4,0)+1,0),0)*M322,0)*AG322*0.5,0)),"")</f>
        <v>0</v>
      </c>
      <c r="AL322" s="1433"/>
      <c r="AM322" s="1487">
        <f>IFERROR(IF(OR(N325="ベア加算",N325=""),0, IF(OR(U322="新加算Ⅰ",U322="新加算Ⅱ",U322="新加算Ⅲ",U322="新加算Ⅳ"),ROUNDDOWN(ROUND(L322*VLOOKUP(K322,【参考】数式用!$A$5:$I$27,MATCH("ベア加算",【参考】数式用!$B$4:$I$4,0)+1,0),0)*M322,0)*AG322,0)),"")</f>
        <v>0</v>
      </c>
      <c r="AN322" s="1502"/>
      <c r="AO322" s="1364"/>
      <c r="AP322" s="1403"/>
      <c r="AQ322" s="1403"/>
      <c r="AR322" s="1489"/>
      <c r="AS322" s="1491"/>
      <c r="AT322" s="556" t="str">
        <f t="shared" si="268"/>
        <v/>
      </c>
      <c r="AU322" s="651"/>
      <c r="AV322" s="1493" t="str">
        <f>IF(K322&lt;&gt;"","V列に色付け","")</f>
        <v/>
      </c>
      <c r="AW322" s="652" t="str">
        <f>IF('別紙様式2-2（４・５月分）'!O245="","",'別紙様式2-2（４・５月分）'!O245)</f>
        <v/>
      </c>
      <c r="AX322" s="1507" t="str">
        <f>IF(SUM('別紙様式2-2（４・５月分）'!P245:P247)=0,"",SUM('別紙様式2-2（４・５月分）'!P245:P247))</f>
        <v/>
      </c>
      <c r="AY322" s="1506" t="str">
        <f>IFERROR(VLOOKUP(K322,【参考】数式用!$AJ$2:$AK$24,2,FALSE),"")</f>
        <v/>
      </c>
      <c r="AZ322" s="1321" t="s">
        <v>2098</v>
      </c>
      <c r="BA322" s="1321" t="s">
        <v>2099</v>
      </c>
      <c r="BB322" s="1321" t="s">
        <v>2100</v>
      </c>
      <c r="BC322" s="1321" t="s">
        <v>2101</v>
      </c>
      <c r="BD322" s="1321" t="str">
        <f>IF(AND(P322&lt;&gt;"新加算Ⅰ",P322&lt;&gt;"新加算Ⅱ",P322&lt;&gt;"新加算Ⅲ",P322&lt;&gt;"新加算Ⅳ"),P322,IF(Q324&lt;&gt;"",Q324,""))</f>
        <v/>
      </c>
      <c r="BE322" s="1321"/>
      <c r="BF322" s="1321" t="str">
        <f t="shared" ref="BF322" si="319">IF(AM322&lt;&gt;0,IF(AN322="○","入力済","未入力"),"")</f>
        <v/>
      </c>
      <c r="BG322" s="1321"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321" t="str">
        <f>IF(OR(U322="新加算Ⅴ（７）",U322="新加算Ⅴ（９）",U322="新加算Ⅴ（10）",U322="新加算Ⅴ（12）",U322="新加算Ⅴ（13）",U322="新加算Ⅴ（14）"),IF(OR(AP322="○",AP322="令和６年度中に満たす"),"入力済","未入力"),"")</f>
        <v/>
      </c>
      <c r="BI322" s="1321" t="str">
        <f>IF(OR(U322="新加算Ⅰ",U322="新加算Ⅱ",U322="新加算Ⅲ",U322="新加算Ⅴ（１）",U322="新加算Ⅴ（３）",U322="新加算Ⅴ（８）"),IF(OR(AQ322="○",AQ322="令和６年度中に満たす"),"入力済","未入力"),"")</f>
        <v/>
      </c>
      <c r="BJ322" s="1512"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493" t="str">
        <f>IF(OR(U322="新加算Ⅰ",U322="新加算Ⅴ（１）",U322="新加算Ⅴ（２）",U322="新加算Ⅴ（５）",U322="新加算Ⅴ（７）",U322="新加算Ⅴ（10）"),IF(AS322="","未入力","入力済"),"")</f>
        <v/>
      </c>
      <c r="BL322" s="543" t="str">
        <f>G322</f>
        <v/>
      </c>
    </row>
    <row r="323" spans="1:64" ht="15" customHeight="1">
      <c r="A323" s="1226"/>
      <c r="B323" s="1272"/>
      <c r="C323" s="1261"/>
      <c r="D323" s="1261"/>
      <c r="E323" s="1261"/>
      <c r="F323" s="1262"/>
      <c r="G323" s="1266"/>
      <c r="H323" s="1266"/>
      <c r="I323" s="1266"/>
      <c r="J323" s="1372"/>
      <c r="K323" s="1266"/>
      <c r="L323" s="1247"/>
      <c r="M323" s="1374"/>
      <c r="N323" s="1370" t="str">
        <f>IF('別紙様式2-2（４・５月分）'!Q246="","",'別紙様式2-2（４・５月分）'!Q246)</f>
        <v/>
      </c>
      <c r="O323" s="1367"/>
      <c r="P323" s="1383"/>
      <c r="Q323" s="1384"/>
      <c r="R323" s="1385"/>
      <c r="S323" s="1393"/>
      <c r="T323" s="1414"/>
      <c r="U323" s="1416"/>
      <c r="V323" s="1458"/>
      <c r="W323" s="1351"/>
      <c r="X323" s="1353"/>
      <c r="Y323" s="1355"/>
      <c r="Z323" s="1353"/>
      <c r="AA323" s="1355"/>
      <c r="AB323" s="1353"/>
      <c r="AC323" s="1355"/>
      <c r="AD323" s="1353"/>
      <c r="AE323" s="1355"/>
      <c r="AF323" s="1355"/>
      <c r="AG323" s="1355"/>
      <c r="AH323" s="1361"/>
      <c r="AI323" s="1482"/>
      <c r="AJ323" s="1484"/>
      <c r="AK323" s="1486"/>
      <c r="AL323" s="1434"/>
      <c r="AM323" s="1488"/>
      <c r="AN323" s="1503"/>
      <c r="AO323" s="1365"/>
      <c r="AP323" s="1404"/>
      <c r="AQ323" s="1404"/>
      <c r="AR323" s="1490"/>
      <c r="AS323" s="1492"/>
      <c r="AT323" s="1331" t="str">
        <f t="shared" si="270"/>
        <v/>
      </c>
      <c r="AU323" s="651"/>
      <c r="AV323" s="1493"/>
      <c r="AW323" s="1518" t="str">
        <f>IF('別紙様式2-2（４・５月分）'!O246="","",'別紙様式2-2（４・５月分）'!O246)</f>
        <v/>
      </c>
      <c r="AX323" s="1507"/>
      <c r="AY323" s="1506"/>
      <c r="AZ323" s="1321"/>
      <c r="BA323" s="1321"/>
      <c r="BB323" s="1321"/>
      <c r="BC323" s="1321"/>
      <c r="BD323" s="1321"/>
      <c r="BE323" s="1321"/>
      <c r="BF323" s="1321"/>
      <c r="BG323" s="1321"/>
      <c r="BH323" s="1321"/>
      <c r="BI323" s="1321"/>
      <c r="BJ323" s="1512"/>
      <c r="BK323" s="1493"/>
      <c r="BL323" s="543" t="str">
        <f>G322</f>
        <v/>
      </c>
    </row>
    <row r="324" spans="1:64" ht="15" customHeight="1">
      <c r="A324" s="1240"/>
      <c r="B324" s="1272"/>
      <c r="C324" s="1261"/>
      <c r="D324" s="1261"/>
      <c r="E324" s="1261"/>
      <c r="F324" s="1262"/>
      <c r="G324" s="1266"/>
      <c r="H324" s="1266"/>
      <c r="I324" s="1266"/>
      <c r="J324" s="1372"/>
      <c r="K324" s="1266"/>
      <c r="L324" s="1247"/>
      <c r="M324" s="1374"/>
      <c r="N324" s="1371"/>
      <c r="O324" s="1368"/>
      <c r="P324" s="1390" t="s">
        <v>2179</v>
      </c>
      <c r="Q324" s="1386" t="str">
        <f>IFERROR(VLOOKUP('別紙様式2-2（４・５月分）'!AR245,【参考】数式用!$AT$5:$AV$22,3,FALSE),"")</f>
        <v/>
      </c>
      <c r="R324" s="1388" t="s">
        <v>2190</v>
      </c>
      <c r="S324" s="1394" t="str">
        <f>IFERROR(VLOOKUP(K322,【参考】数式用!$A$5:$AB$27,MATCH(Q324,【参考】数式用!$B$4:$AB$4,0)+1,0),"")</f>
        <v/>
      </c>
      <c r="T324" s="1459" t="s">
        <v>217</v>
      </c>
      <c r="U324" s="1461"/>
      <c r="V324" s="1463" t="str">
        <f>IFERROR(VLOOKUP(K322,【参考】数式用!$A$5:$AB$27,MATCH(U324,【参考】数式用!$B$4:$AB$4,0)+1,0),"")</f>
        <v/>
      </c>
      <c r="W324" s="1465" t="s">
        <v>19</v>
      </c>
      <c r="X324" s="1508">
        <v>7</v>
      </c>
      <c r="Y324" s="1407" t="s">
        <v>10</v>
      </c>
      <c r="Z324" s="1508">
        <v>4</v>
      </c>
      <c r="AA324" s="1407" t="s">
        <v>45</v>
      </c>
      <c r="AB324" s="1508">
        <v>8</v>
      </c>
      <c r="AC324" s="1407" t="s">
        <v>10</v>
      </c>
      <c r="AD324" s="1508">
        <v>3</v>
      </c>
      <c r="AE324" s="1407" t="s">
        <v>13</v>
      </c>
      <c r="AF324" s="1407" t="s">
        <v>24</v>
      </c>
      <c r="AG324" s="1407">
        <f>IF(X324&gt;=1,(AB324*12+AD324)-(X324*12+Z324)+1,"")</f>
        <v>12</v>
      </c>
      <c r="AH324" s="1409" t="s">
        <v>38</v>
      </c>
      <c r="AI324" s="1496" t="str">
        <f>IFERROR(ROUNDDOWN(ROUND(L322*V324,0)*M322,0)*AG324,"")</f>
        <v/>
      </c>
      <c r="AJ324" s="1510" t="str">
        <f>IFERROR(ROUNDDOWN(ROUND((L322*(V324-AX322)),0)*M322,0)*AG324,"")</f>
        <v/>
      </c>
      <c r="AK324" s="1494">
        <f>IFERROR(IF(OR(N322="",N323="",N325=""),0,ROUNDDOWN(ROUNDDOWN(ROUND(L322*VLOOKUP(K322,【参考】数式用!$A$5:$AB$27,MATCH("新加算Ⅳ",【参考】数式用!$B$4:$AB$4,0)+1,0),0)*M322,0)*AG324*0.5,0)),"")</f>
        <v>0</v>
      </c>
      <c r="AL324" s="1435" t="str">
        <f t="shared" ref="AL324" si="320">IF(U324&lt;&gt;"","新規に適用","")</f>
        <v/>
      </c>
      <c r="AM324" s="1498">
        <f>IFERROR(IF(OR(N325="ベア加算",N325=""),0, IF(OR(U322="新加算Ⅰ",U322="新加算Ⅱ",U322="新加算Ⅲ",U322="新加算Ⅳ"),0,ROUNDDOWN(ROUND(L322*VLOOKUP(K322,【参考】数式用!$A$5:$I$27,MATCH("ベア加算",【参考】数式用!$B$4:$I$4,0)+1,0),0)*M322,0)*AG324)),"")</f>
        <v>0</v>
      </c>
      <c r="AN324" s="1356" t="str">
        <f t="shared" ref="AN324" si="321">IF(AM324=0,"",IF(AND(U324&lt;&gt;"",AN322=""),"新規に適用",IF(AND(U324&lt;&gt;"",AN322&lt;&gt;""),"継続で適用","")))</f>
        <v/>
      </c>
      <c r="AO324" s="1356" t="str">
        <f>IF(AND(U324&lt;&gt;"",AO322=""),"新規に適用",IF(AND(U324&lt;&gt;"",AO322&lt;&gt;""),"継続で適用",""))</f>
        <v/>
      </c>
      <c r="AP324" s="1358"/>
      <c r="AQ324" s="1356" t="str">
        <f>IF(AND(U324&lt;&gt;"",AQ322=""),"新規に適用",IF(AND(U324&lt;&gt;"",AQ322&lt;&gt;""),"継続で適用",""))</f>
        <v/>
      </c>
      <c r="AR324" s="1344" t="str">
        <f t="shared" si="293"/>
        <v/>
      </c>
      <c r="AS324" s="1356" t="str">
        <f>IF(AND(U324&lt;&gt;"",AS322=""),"新規に適用",IF(AND(U324&lt;&gt;"",AS322&lt;&gt;""),"継続で適用",""))</f>
        <v/>
      </c>
      <c r="AT324" s="1331"/>
      <c r="AU324" s="651"/>
      <c r="AV324" s="1493" t="str">
        <f>IF(K322&lt;&gt;"","V列に色付け","")</f>
        <v/>
      </c>
      <c r="AW324" s="1518"/>
      <c r="AX324" s="1507"/>
      <c r="AY324" s="163"/>
      <c r="AZ324" s="163"/>
      <c r="BA324" s="163"/>
      <c r="BB324" s="163"/>
      <c r="BC324" s="163"/>
      <c r="BD324" s="163"/>
      <c r="BE324" s="163"/>
      <c r="BF324" s="163"/>
      <c r="BG324" s="163"/>
      <c r="BH324" s="163"/>
      <c r="BI324" s="163"/>
      <c r="BJ324" s="163"/>
      <c r="BK324" s="163"/>
      <c r="BL324" s="543" t="str">
        <f>G322</f>
        <v/>
      </c>
    </row>
    <row r="325" spans="1:64" ht="30" customHeight="1" thickBot="1">
      <c r="A325" s="1227"/>
      <c r="B325" s="1376"/>
      <c r="C325" s="1377"/>
      <c r="D325" s="1377"/>
      <c r="E325" s="1377"/>
      <c r="F325" s="1378"/>
      <c r="G325" s="1267"/>
      <c r="H325" s="1267"/>
      <c r="I325" s="1267"/>
      <c r="J325" s="1373"/>
      <c r="K325" s="1267"/>
      <c r="L325" s="1248"/>
      <c r="M325" s="1375"/>
      <c r="N325" s="650" t="str">
        <f>IF('別紙様式2-2（４・５月分）'!Q247="","",'別紙様式2-2（４・５月分）'!Q247)</f>
        <v/>
      </c>
      <c r="O325" s="1369"/>
      <c r="P325" s="1391"/>
      <c r="Q325" s="1387"/>
      <c r="R325" s="1389"/>
      <c r="S325" s="1395"/>
      <c r="T325" s="1460"/>
      <c r="U325" s="1462"/>
      <c r="V325" s="1464"/>
      <c r="W325" s="1466"/>
      <c r="X325" s="1509"/>
      <c r="Y325" s="1408"/>
      <c r="Z325" s="1509"/>
      <c r="AA325" s="1408"/>
      <c r="AB325" s="1509"/>
      <c r="AC325" s="1408"/>
      <c r="AD325" s="1509"/>
      <c r="AE325" s="1408"/>
      <c r="AF325" s="1408"/>
      <c r="AG325" s="1408"/>
      <c r="AH325" s="1410"/>
      <c r="AI325" s="1497"/>
      <c r="AJ325" s="1511"/>
      <c r="AK325" s="1495"/>
      <c r="AL325" s="1436"/>
      <c r="AM325" s="1499"/>
      <c r="AN325" s="1357"/>
      <c r="AO325" s="1357"/>
      <c r="AP325" s="1359"/>
      <c r="AQ325" s="1357"/>
      <c r="AR325" s="1345"/>
      <c r="AS325" s="1357"/>
      <c r="AT325" s="581" t="str">
        <f t="shared" ref="AT325" si="322">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51"/>
      <c r="AV325" s="1493"/>
      <c r="AW325" s="652" t="str">
        <f>IF('別紙様式2-2（４・５月分）'!O247="","",'別紙様式2-2（４・５月分）'!O247)</f>
        <v/>
      </c>
      <c r="AX325" s="1507"/>
      <c r="AY325" s="163"/>
      <c r="AZ325" s="163"/>
      <c r="BA325" s="163"/>
      <c r="BB325" s="163"/>
      <c r="BC325" s="163"/>
      <c r="BD325" s="163"/>
      <c r="BE325" s="163"/>
      <c r="BF325" s="163"/>
      <c r="BG325" s="163"/>
      <c r="BH325" s="163"/>
      <c r="BI325" s="163"/>
      <c r="BJ325" s="163"/>
      <c r="BK325" s="163"/>
      <c r="BL325" s="543" t="str">
        <f>G322</f>
        <v/>
      </c>
    </row>
    <row r="326" spans="1:64" ht="30" customHeight="1">
      <c r="A326" s="1225">
        <v>79</v>
      </c>
      <c r="B326" s="1271" t="str">
        <f>IF(基本情報入力シート!C132="","",基本情報入力シート!C132)</f>
        <v/>
      </c>
      <c r="C326" s="1259"/>
      <c r="D326" s="1259"/>
      <c r="E326" s="1259"/>
      <c r="F326" s="1260"/>
      <c r="G326" s="1265" t="str">
        <f>IF(基本情報入力シート!M132="","",基本情報入力シート!M132)</f>
        <v/>
      </c>
      <c r="H326" s="1265" t="str">
        <f>IF(基本情報入力シート!R132="","",基本情報入力シート!R132)</f>
        <v/>
      </c>
      <c r="I326" s="1265" t="str">
        <f>IF(基本情報入力シート!W132="","",基本情報入力シート!W132)</f>
        <v/>
      </c>
      <c r="J326" s="1379" t="str">
        <f>IF(基本情報入力シート!X132="","",基本情報入力シート!X132)</f>
        <v/>
      </c>
      <c r="K326" s="1265" t="str">
        <f>IF(基本情報入力シート!Y132="","",基本情報入力シート!Y132)</f>
        <v/>
      </c>
      <c r="L326" s="1246" t="str">
        <f>IF(基本情報入力シート!AB132="","",基本情報入力シート!AB132)</f>
        <v/>
      </c>
      <c r="M326" s="1249" t="str">
        <f>IF(基本情報入力シート!AC132="","",基本情報入力シート!AC132)</f>
        <v/>
      </c>
      <c r="N326" s="647" t="str">
        <f>IF('別紙様式2-2（４・５月分）'!Q248="","",'別紙様式2-2（４・５月分）'!Q248)</f>
        <v/>
      </c>
      <c r="O326" s="1366" t="str">
        <f>IF(SUM('別紙様式2-2（４・５月分）'!R248:R250)=0,"",SUM('別紙様式2-2（４・５月分）'!R248:R250))</f>
        <v/>
      </c>
      <c r="P326" s="1380" t="str">
        <f>IFERROR(VLOOKUP('別紙様式2-2（４・５月分）'!AR248,【参考】数式用!$AT$5:$AU$22,2,FALSE),"")</f>
        <v/>
      </c>
      <c r="Q326" s="1381"/>
      <c r="R326" s="1382"/>
      <c r="S326" s="1392" t="str">
        <f>IFERROR(VLOOKUP(K326,【参考】数式用!$A$5:$AB$27,MATCH(P326,【参考】数式用!$B$4:$AB$4,0)+1,0),"")</f>
        <v/>
      </c>
      <c r="T326" s="1413" t="s">
        <v>2173</v>
      </c>
      <c r="U326" s="1415"/>
      <c r="V326" s="1457" t="str">
        <f>IFERROR(VLOOKUP(K326,【参考】数式用!$A$5:$AB$27,MATCH(U326,【参考】数式用!$B$4:$AB$4,0)+1,0),"")</f>
        <v/>
      </c>
      <c r="W326" s="1350" t="s">
        <v>19</v>
      </c>
      <c r="X326" s="1352">
        <v>6</v>
      </c>
      <c r="Y326" s="1354" t="s">
        <v>10</v>
      </c>
      <c r="Z326" s="1352">
        <v>6</v>
      </c>
      <c r="AA326" s="1354" t="s">
        <v>45</v>
      </c>
      <c r="AB326" s="1352">
        <v>7</v>
      </c>
      <c r="AC326" s="1354" t="s">
        <v>10</v>
      </c>
      <c r="AD326" s="1352">
        <v>3</v>
      </c>
      <c r="AE326" s="1354" t="s">
        <v>13</v>
      </c>
      <c r="AF326" s="1354" t="s">
        <v>24</v>
      </c>
      <c r="AG326" s="1354">
        <f>IF(X326&gt;=1,(AB326*12+AD326)-(X326*12+Z326)+1,"")</f>
        <v>10</v>
      </c>
      <c r="AH326" s="1360" t="s">
        <v>38</v>
      </c>
      <c r="AI326" s="1481" t="str">
        <f>IFERROR(ROUNDDOWN(ROUND(L326*V326,0)*M326,0)*AG326,"")</f>
        <v/>
      </c>
      <c r="AJ326" s="1483" t="str">
        <f>IFERROR(ROUNDDOWN(ROUND((L326*(V326-AX326)),0)*M326,0)*AG326,"")</f>
        <v/>
      </c>
      <c r="AK326" s="1485">
        <f>IFERROR(IF(OR(N326="",N327="",N329=""),0,ROUNDDOWN(ROUNDDOWN(ROUND(L326*VLOOKUP(K326,【参考】数式用!$A$5:$AB$27,MATCH("新加算Ⅳ",【参考】数式用!$B$4:$AB$4,0)+1,0),0)*M326,0)*AG326*0.5,0)),"")</f>
        <v>0</v>
      </c>
      <c r="AL326" s="1433"/>
      <c r="AM326" s="1487">
        <f>IFERROR(IF(OR(N329="ベア加算",N329=""),0, IF(OR(U326="新加算Ⅰ",U326="新加算Ⅱ",U326="新加算Ⅲ",U326="新加算Ⅳ"),ROUNDDOWN(ROUND(L326*VLOOKUP(K326,【参考】数式用!$A$5:$I$27,MATCH("ベア加算",【参考】数式用!$B$4:$I$4,0)+1,0),0)*M326,0)*AG326,0)),"")</f>
        <v>0</v>
      </c>
      <c r="AN326" s="1502"/>
      <c r="AO326" s="1364"/>
      <c r="AP326" s="1403"/>
      <c r="AQ326" s="1403"/>
      <c r="AR326" s="1489"/>
      <c r="AS326" s="1491"/>
      <c r="AT326" s="556" t="str">
        <f t="shared" si="268"/>
        <v/>
      </c>
      <c r="AU326" s="651"/>
      <c r="AV326" s="1493" t="str">
        <f>IF(K326&lt;&gt;"","V列に色付け","")</f>
        <v/>
      </c>
      <c r="AW326" s="652" t="str">
        <f>IF('別紙様式2-2（４・５月分）'!O248="","",'別紙様式2-2（４・５月分）'!O248)</f>
        <v/>
      </c>
      <c r="AX326" s="1507" t="str">
        <f>IF(SUM('別紙様式2-2（４・５月分）'!P248:P250)=0,"",SUM('別紙様式2-2（４・５月分）'!P248:P250))</f>
        <v/>
      </c>
      <c r="AY326" s="1506" t="str">
        <f>IFERROR(VLOOKUP(K326,【参考】数式用!$AJ$2:$AK$24,2,FALSE),"")</f>
        <v/>
      </c>
      <c r="AZ326" s="1321" t="s">
        <v>2098</v>
      </c>
      <c r="BA326" s="1321" t="s">
        <v>2099</v>
      </c>
      <c r="BB326" s="1321" t="s">
        <v>2100</v>
      </c>
      <c r="BC326" s="1321" t="s">
        <v>2101</v>
      </c>
      <c r="BD326" s="1321" t="str">
        <f>IF(AND(P326&lt;&gt;"新加算Ⅰ",P326&lt;&gt;"新加算Ⅱ",P326&lt;&gt;"新加算Ⅲ",P326&lt;&gt;"新加算Ⅳ"),P326,IF(Q328&lt;&gt;"",Q328,""))</f>
        <v/>
      </c>
      <c r="BE326" s="1321"/>
      <c r="BF326" s="1321" t="str">
        <f t="shared" ref="BF326" si="323">IF(AM326&lt;&gt;0,IF(AN326="○","入力済","未入力"),"")</f>
        <v/>
      </c>
      <c r="BG326" s="1321"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321" t="str">
        <f>IF(OR(U326="新加算Ⅴ（７）",U326="新加算Ⅴ（９）",U326="新加算Ⅴ（10）",U326="新加算Ⅴ（12）",U326="新加算Ⅴ（13）",U326="新加算Ⅴ（14）"),IF(OR(AP326="○",AP326="令和６年度中に満たす"),"入力済","未入力"),"")</f>
        <v/>
      </c>
      <c r="BI326" s="1321" t="str">
        <f>IF(OR(U326="新加算Ⅰ",U326="新加算Ⅱ",U326="新加算Ⅲ",U326="新加算Ⅴ（１）",U326="新加算Ⅴ（３）",U326="新加算Ⅴ（８）"),IF(OR(AQ326="○",AQ326="令和６年度中に満たす"),"入力済","未入力"),"")</f>
        <v/>
      </c>
      <c r="BJ326" s="1512"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493" t="str">
        <f>IF(OR(U326="新加算Ⅰ",U326="新加算Ⅴ（１）",U326="新加算Ⅴ（２）",U326="新加算Ⅴ（５）",U326="新加算Ⅴ（７）",U326="新加算Ⅴ（10）"),IF(AS326="","未入力","入力済"),"")</f>
        <v/>
      </c>
      <c r="BL326" s="543" t="str">
        <f>G326</f>
        <v/>
      </c>
    </row>
    <row r="327" spans="1:64" ht="15" customHeight="1">
      <c r="A327" s="1226"/>
      <c r="B327" s="1272"/>
      <c r="C327" s="1261"/>
      <c r="D327" s="1261"/>
      <c r="E327" s="1261"/>
      <c r="F327" s="1262"/>
      <c r="G327" s="1266"/>
      <c r="H327" s="1266"/>
      <c r="I327" s="1266"/>
      <c r="J327" s="1372"/>
      <c r="K327" s="1266"/>
      <c r="L327" s="1247"/>
      <c r="M327" s="1250"/>
      <c r="N327" s="1370" t="str">
        <f>IF('別紙様式2-2（４・５月分）'!Q249="","",'別紙様式2-2（４・５月分）'!Q249)</f>
        <v/>
      </c>
      <c r="O327" s="1367"/>
      <c r="P327" s="1383"/>
      <c r="Q327" s="1384"/>
      <c r="R327" s="1385"/>
      <c r="S327" s="1393"/>
      <c r="T327" s="1414"/>
      <c r="U327" s="1416"/>
      <c r="V327" s="1458"/>
      <c r="W327" s="1351"/>
      <c r="X327" s="1353"/>
      <c r="Y327" s="1355"/>
      <c r="Z327" s="1353"/>
      <c r="AA327" s="1355"/>
      <c r="AB327" s="1353"/>
      <c r="AC327" s="1355"/>
      <c r="AD327" s="1353"/>
      <c r="AE327" s="1355"/>
      <c r="AF327" s="1355"/>
      <c r="AG327" s="1355"/>
      <c r="AH327" s="1361"/>
      <c r="AI327" s="1482"/>
      <c r="AJ327" s="1484"/>
      <c r="AK327" s="1486"/>
      <c r="AL327" s="1434"/>
      <c r="AM327" s="1488"/>
      <c r="AN327" s="1503"/>
      <c r="AO327" s="1365"/>
      <c r="AP327" s="1404"/>
      <c r="AQ327" s="1404"/>
      <c r="AR327" s="1490"/>
      <c r="AS327" s="1492"/>
      <c r="AT327" s="1331" t="str">
        <f t="shared" si="270"/>
        <v/>
      </c>
      <c r="AU327" s="651"/>
      <c r="AV327" s="1493"/>
      <c r="AW327" s="1518" t="str">
        <f>IF('別紙様式2-2（４・５月分）'!O249="","",'別紙様式2-2（４・５月分）'!O249)</f>
        <v/>
      </c>
      <c r="AX327" s="1507"/>
      <c r="AY327" s="1506"/>
      <c r="AZ327" s="1321"/>
      <c r="BA327" s="1321"/>
      <c r="BB327" s="1321"/>
      <c r="BC327" s="1321"/>
      <c r="BD327" s="1321"/>
      <c r="BE327" s="1321"/>
      <c r="BF327" s="1321"/>
      <c r="BG327" s="1321"/>
      <c r="BH327" s="1321"/>
      <c r="BI327" s="1321"/>
      <c r="BJ327" s="1512"/>
      <c r="BK327" s="1493"/>
      <c r="BL327" s="543" t="str">
        <f>G326</f>
        <v/>
      </c>
    </row>
    <row r="328" spans="1:64" ht="15" customHeight="1">
      <c r="A328" s="1240"/>
      <c r="B328" s="1272"/>
      <c r="C328" s="1261"/>
      <c r="D328" s="1261"/>
      <c r="E328" s="1261"/>
      <c r="F328" s="1262"/>
      <c r="G328" s="1266"/>
      <c r="H328" s="1266"/>
      <c r="I328" s="1266"/>
      <c r="J328" s="1372"/>
      <c r="K328" s="1266"/>
      <c r="L328" s="1247"/>
      <c r="M328" s="1250"/>
      <c r="N328" s="1371"/>
      <c r="O328" s="1368"/>
      <c r="P328" s="1390" t="s">
        <v>2179</v>
      </c>
      <c r="Q328" s="1386" t="str">
        <f>IFERROR(VLOOKUP('別紙様式2-2（４・５月分）'!AR248,【参考】数式用!$AT$5:$AV$22,3,FALSE),"")</f>
        <v/>
      </c>
      <c r="R328" s="1388" t="s">
        <v>2190</v>
      </c>
      <c r="S328" s="1396" t="str">
        <f>IFERROR(VLOOKUP(K326,【参考】数式用!$A$5:$AB$27,MATCH(Q328,【参考】数式用!$B$4:$AB$4,0)+1,0),"")</f>
        <v/>
      </c>
      <c r="T328" s="1459" t="s">
        <v>217</v>
      </c>
      <c r="U328" s="1461"/>
      <c r="V328" s="1463" t="str">
        <f>IFERROR(VLOOKUP(K326,【参考】数式用!$A$5:$AB$27,MATCH(U328,【参考】数式用!$B$4:$AB$4,0)+1,0),"")</f>
        <v/>
      </c>
      <c r="W328" s="1465" t="s">
        <v>19</v>
      </c>
      <c r="X328" s="1508">
        <v>7</v>
      </c>
      <c r="Y328" s="1407" t="s">
        <v>10</v>
      </c>
      <c r="Z328" s="1508">
        <v>4</v>
      </c>
      <c r="AA328" s="1407" t="s">
        <v>45</v>
      </c>
      <c r="AB328" s="1508">
        <v>8</v>
      </c>
      <c r="AC328" s="1407" t="s">
        <v>10</v>
      </c>
      <c r="AD328" s="1508">
        <v>3</v>
      </c>
      <c r="AE328" s="1407" t="s">
        <v>13</v>
      </c>
      <c r="AF328" s="1407" t="s">
        <v>24</v>
      </c>
      <c r="AG328" s="1407">
        <f>IF(X328&gt;=1,(AB328*12+AD328)-(X328*12+Z328)+1,"")</f>
        <v>12</v>
      </c>
      <c r="AH328" s="1409" t="s">
        <v>38</v>
      </c>
      <c r="AI328" s="1496" t="str">
        <f>IFERROR(ROUNDDOWN(ROUND(L326*V328,0)*M326,0)*AG328,"")</f>
        <v/>
      </c>
      <c r="AJ328" s="1510" t="str">
        <f>IFERROR(ROUNDDOWN(ROUND((L326*(V328-AX326)),0)*M326,0)*AG328,"")</f>
        <v/>
      </c>
      <c r="AK328" s="1494">
        <f>IFERROR(IF(OR(N326="",N327="",N329=""),0,ROUNDDOWN(ROUNDDOWN(ROUND(L326*VLOOKUP(K326,【参考】数式用!$A$5:$AB$27,MATCH("新加算Ⅳ",【参考】数式用!$B$4:$AB$4,0)+1,0),0)*M326,0)*AG328*0.5,0)),"")</f>
        <v>0</v>
      </c>
      <c r="AL328" s="1435" t="str">
        <f t="shared" ref="AL328" si="324">IF(U328&lt;&gt;"","新規に適用","")</f>
        <v/>
      </c>
      <c r="AM328" s="1498">
        <f>IFERROR(IF(OR(N329="ベア加算",N329=""),0, IF(OR(U326="新加算Ⅰ",U326="新加算Ⅱ",U326="新加算Ⅲ",U326="新加算Ⅳ"),0,ROUNDDOWN(ROUND(L326*VLOOKUP(K326,【参考】数式用!$A$5:$I$27,MATCH("ベア加算",【参考】数式用!$B$4:$I$4,0)+1,0),0)*M326,0)*AG328)),"")</f>
        <v>0</v>
      </c>
      <c r="AN328" s="1356" t="str">
        <f t="shared" ref="AN328" si="325">IF(AM328=0,"",IF(AND(U328&lt;&gt;"",AN326=""),"新規に適用",IF(AND(U328&lt;&gt;"",AN326&lt;&gt;""),"継続で適用","")))</f>
        <v/>
      </c>
      <c r="AO328" s="1356" t="str">
        <f>IF(AND(U328&lt;&gt;"",AO326=""),"新規に適用",IF(AND(U328&lt;&gt;"",AO326&lt;&gt;""),"継続で適用",""))</f>
        <v/>
      </c>
      <c r="AP328" s="1358"/>
      <c r="AQ328" s="1356" t="str">
        <f>IF(AND(U328&lt;&gt;"",AQ326=""),"新規に適用",IF(AND(U328&lt;&gt;"",AQ326&lt;&gt;""),"継続で適用",""))</f>
        <v/>
      </c>
      <c r="AR328" s="1344" t="str">
        <f t="shared" si="293"/>
        <v/>
      </c>
      <c r="AS328" s="1356" t="str">
        <f>IF(AND(U328&lt;&gt;"",AS326=""),"新規に適用",IF(AND(U328&lt;&gt;"",AS326&lt;&gt;""),"継続で適用",""))</f>
        <v/>
      </c>
      <c r="AT328" s="1331"/>
      <c r="AU328" s="651"/>
      <c r="AV328" s="1493" t="str">
        <f>IF(K326&lt;&gt;"","V列に色付け","")</f>
        <v/>
      </c>
      <c r="AW328" s="1518"/>
      <c r="AX328" s="1507"/>
      <c r="AY328" s="163"/>
      <c r="AZ328" s="163"/>
      <c r="BA328" s="163"/>
      <c r="BB328" s="163"/>
      <c r="BC328" s="163"/>
      <c r="BD328" s="163"/>
      <c r="BE328" s="163"/>
      <c r="BF328" s="163"/>
      <c r="BG328" s="163"/>
      <c r="BH328" s="163"/>
      <c r="BI328" s="163"/>
      <c r="BJ328" s="163"/>
      <c r="BK328" s="163"/>
      <c r="BL328" s="543" t="str">
        <f>G326</f>
        <v/>
      </c>
    </row>
    <row r="329" spans="1:64" ht="30" customHeight="1" thickBot="1">
      <c r="A329" s="1227"/>
      <c r="B329" s="1376"/>
      <c r="C329" s="1377"/>
      <c r="D329" s="1377"/>
      <c r="E329" s="1377"/>
      <c r="F329" s="1378"/>
      <c r="G329" s="1267"/>
      <c r="H329" s="1267"/>
      <c r="I329" s="1267"/>
      <c r="J329" s="1373"/>
      <c r="K329" s="1267"/>
      <c r="L329" s="1248"/>
      <c r="M329" s="1251"/>
      <c r="N329" s="650" t="str">
        <f>IF('別紙様式2-2（４・５月分）'!Q250="","",'別紙様式2-2（４・５月分）'!Q250)</f>
        <v/>
      </c>
      <c r="O329" s="1369"/>
      <c r="P329" s="1391"/>
      <c r="Q329" s="1387"/>
      <c r="R329" s="1389"/>
      <c r="S329" s="1395"/>
      <c r="T329" s="1460"/>
      <c r="U329" s="1462"/>
      <c r="V329" s="1464"/>
      <c r="W329" s="1466"/>
      <c r="X329" s="1509"/>
      <c r="Y329" s="1408"/>
      <c r="Z329" s="1509"/>
      <c r="AA329" s="1408"/>
      <c r="AB329" s="1509"/>
      <c r="AC329" s="1408"/>
      <c r="AD329" s="1509"/>
      <c r="AE329" s="1408"/>
      <c r="AF329" s="1408"/>
      <c r="AG329" s="1408"/>
      <c r="AH329" s="1410"/>
      <c r="AI329" s="1497"/>
      <c r="AJ329" s="1511"/>
      <c r="AK329" s="1495"/>
      <c r="AL329" s="1436"/>
      <c r="AM329" s="1499"/>
      <c r="AN329" s="1357"/>
      <c r="AO329" s="1357"/>
      <c r="AP329" s="1359"/>
      <c r="AQ329" s="1357"/>
      <c r="AR329" s="1345"/>
      <c r="AS329" s="1357"/>
      <c r="AT329" s="581" t="str">
        <f t="shared" ref="AT329" si="326">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51"/>
      <c r="AV329" s="1493"/>
      <c r="AW329" s="652" t="str">
        <f>IF('別紙様式2-2（４・５月分）'!O250="","",'別紙様式2-2（４・５月分）'!O250)</f>
        <v/>
      </c>
      <c r="AX329" s="1507"/>
      <c r="AY329" s="163"/>
      <c r="AZ329" s="163"/>
      <c r="BA329" s="163"/>
      <c r="BB329" s="163"/>
      <c r="BC329" s="163"/>
      <c r="BD329" s="163"/>
      <c r="BE329" s="163"/>
      <c r="BF329" s="163"/>
      <c r="BG329" s="163"/>
      <c r="BH329" s="163"/>
      <c r="BI329" s="163"/>
      <c r="BJ329" s="163"/>
      <c r="BK329" s="163"/>
      <c r="BL329" s="543" t="str">
        <f>G326</f>
        <v/>
      </c>
    </row>
    <row r="330" spans="1:64" ht="30" customHeight="1">
      <c r="A330" s="1241">
        <v>80</v>
      </c>
      <c r="B330" s="1272" t="str">
        <f>IF(基本情報入力シート!C133="","",基本情報入力シート!C133)</f>
        <v/>
      </c>
      <c r="C330" s="1261"/>
      <c r="D330" s="1261"/>
      <c r="E330" s="1261"/>
      <c r="F330" s="1262"/>
      <c r="G330" s="1266" t="str">
        <f>IF(基本情報入力シート!M133="","",基本情報入力シート!M133)</f>
        <v/>
      </c>
      <c r="H330" s="1266" t="str">
        <f>IF(基本情報入力シート!R133="","",基本情報入力シート!R133)</f>
        <v/>
      </c>
      <c r="I330" s="1266" t="str">
        <f>IF(基本情報入力シート!W133="","",基本情報入力シート!W133)</f>
        <v/>
      </c>
      <c r="J330" s="1372" t="str">
        <f>IF(基本情報入力シート!X133="","",基本情報入力シート!X133)</f>
        <v/>
      </c>
      <c r="K330" s="1266" t="str">
        <f>IF(基本情報入力シート!Y133="","",基本情報入力シート!Y133)</f>
        <v/>
      </c>
      <c r="L330" s="1247" t="str">
        <f>IF(基本情報入力シート!AB133="","",基本情報入力シート!AB133)</f>
        <v/>
      </c>
      <c r="M330" s="1374" t="str">
        <f>IF(基本情報入力シート!AC133="","",基本情報入力シート!AC133)</f>
        <v/>
      </c>
      <c r="N330" s="647" t="str">
        <f>IF('別紙様式2-2（４・５月分）'!Q251="","",'別紙様式2-2（４・５月分）'!Q251)</f>
        <v/>
      </c>
      <c r="O330" s="1366" t="str">
        <f>IF(SUM('別紙様式2-2（４・５月分）'!R251:R253)=0,"",SUM('別紙様式2-2（４・５月分）'!R251:R253))</f>
        <v/>
      </c>
      <c r="P330" s="1380" t="str">
        <f>IFERROR(VLOOKUP('別紙様式2-2（４・５月分）'!AR251,【参考】数式用!$AT$5:$AU$22,2,FALSE),"")</f>
        <v/>
      </c>
      <c r="Q330" s="1381"/>
      <c r="R330" s="1382"/>
      <c r="S330" s="1392" t="str">
        <f>IFERROR(VLOOKUP(K330,【参考】数式用!$A$5:$AB$27,MATCH(P330,【参考】数式用!$B$4:$AB$4,0)+1,0),"")</f>
        <v/>
      </c>
      <c r="T330" s="1413" t="s">
        <v>2173</v>
      </c>
      <c r="U330" s="1415"/>
      <c r="V330" s="1457" t="str">
        <f>IFERROR(VLOOKUP(K330,【参考】数式用!$A$5:$AB$27,MATCH(U330,【参考】数式用!$B$4:$AB$4,0)+1,0),"")</f>
        <v/>
      </c>
      <c r="W330" s="1350" t="s">
        <v>19</v>
      </c>
      <c r="X330" s="1352">
        <v>6</v>
      </c>
      <c r="Y330" s="1354" t="s">
        <v>10</v>
      </c>
      <c r="Z330" s="1352">
        <v>6</v>
      </c>
      <c r="AA330" s="1354" t="s">
        <v>45</v>
      </c>
      <c r="AB330" s="1352">
        <v>7</v>
      </c>
      <c r="AC330" s="1354" t="s">
        <v>10</v>
      </c>
      <c r="AD330" s="1352">
        <v>3</v>
      </c>
      <c r="AE330" s="1354" t="s">
        <v>13</v>
      </c>
      <c r="AF330" s="1354" t="s">
        <v>24</v>
      </c>
      <c r="AG330" s="1354">
        <f>IF(X330&gt;=1,(AB330*12+AD330)-(X330*12+Z330)+1,"")</f>
        <v>10</v>
      </c>
      <c r="AH330" s="1360" t="s">
        <v>38</v>
      </c>
      <c r="AI330" s="1481" t="str">
        <f>IFERROR(ROUNDDOWN(ROUND(L330*V330,0)*M330,0)*AG330,"")</f>
        <v/>
      </c>
      <c r="AJ330" s="1483" t="str">
        <f>IFERROR(ROUNDDOWN(ROUND((L330*(V330-AX330)),0)*M330,0)*AG330,"")</f>
        <v/>
      </c>
      <c r="AK330" s="1485">
        <f>IFERROR(IF(OR(N330="",N331="",N333=""),0,ROUNDDOWN(ROUNDDOWN(ROUND(L330*VLOOKUP(K330,【参考】数式用!$A$5:$AB$27,MATCH("新加算Ⅳ",【参考】数式用!$B$4:$AB$4,0)+1,0),0)*M330,0)*AG330*0.5,0)),"")</f>
        <v>0</v>
      </c>
      <c r="AL330" s="1433"/>
      <c r="AM330" s="1487">
        <f>IFERROR(IF(OR(N333="ベア加算",N333=""),0, IF(OR(U330="新加算Ⅰ",U330="新加算Ⅱ",U330="新加算Ⅲ",U330="新加算Ⅳ"),ROUNDDOWN(ROUND(L330*VLOOKUP(K330,【参考】数式用!$A$5:$I$27,MATCH("ベア加算",【参考】数式用!$B$4:$I$4,0)+1,0),0)*M330,0)*AG330,0)),"")</f>
        <v>0</v>
      </c>
      <c r="AN330" s="1502"/>
      <c r="AO330" s="1364"/>
      <c r="AP330" s="1403"/>
      <c r="AQ330" s="1403"/>
      <c r="AR330" s="1489"/>
      <c r="AS330" s="1491"/>
      <c r="AT330" s="556" t="str">
        <f t="shared" si="268"/>
        <v/>
      </c>
      <c r="AU330" s="651"/>
      <c r="AV330" s="1493" t="str">
        <f>IF(K330&lt;&gt;"","V列に色付け","")</f>
        <v/>
      </c>
      <c r="AW330" s="652" t="str">
        <f>IF('別紙様式2-2（４・５月分）'!O251="","",'別紙様式2-2（４・５月分）'!O251)</f>
        <v/>
      </c>
      <c r="AX330" s="1507" t="str">
        <f>IF(SUM('別紙様式2-2（４・５月分）'!P251:P253)=0,"",SUM('別紙様式2-2（４・５月分）'!P251:P253))</f>
        <v/>
      </c>
      <c r="AY330" s="1506" t="str">
        <f>IFERROR(VLOOKUP(K330,【参考】数式用!$AJ$2:$AK$24,2,FALSE),"")</f>
        <v/>
      </c>
      <c r="AZ330" s="1321" t="s">
        <v>2098</v>
      </c>
      <c r="BA330" s="1321" t="s">
        <v>2099</v>
      </c>
      <c r="BB330" s="1321" t="s">
        <v>2100</v>
      </c>
      <c r="BC330" s="1321" t="s">
        <v>2101</v>
      </c>
      <c r="BD330" s="1321" t="str">
        <f>IF(AND(P330&lt;&gt;"新加算Ⅰ",P330&lt;&gt;"新加算Ⅱ",P330&lt;&gt;"新加算Ⅲ",P330&lt;&gt;"新加算Ⅳ"),P330,IF(Q332&lt;&gt;"",Q332,""))</f>
        <v/>
      </c>
      <c r="BE330" s="1321"/>
      <c r="BF330" s="1321" t="str">
        <f t="shared" ref="BF330" si="327">IF(AM330&lt;&gt;0,IF(AN330="○","入力済","未入力"),"")</f>
        <v/>
      </c>
      <c r="BG330" s="1321"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321" t="str">
        <f>IF(OR(U330="新加算Ⅴ（７）",U330="新加算Ⅴ（９）",U330="新加算Ⅴ（10）",U330="新加算Ⅴ（12）",U330="新加算Ⅴ（13）",U330="新加算Ⅴ（14）"),IF(OR(AP330="○",AP330="令和６年度中に満たす"),"入力済","未入力"),"")</f>
        <v/>
      </c>
      <c r="BI330" s="1321" t="str">
        <f>IF(OR(U330="新加算Ⅰ",U330="新加算Ⅱ",U330="新加算Ⅲ",U330="新加算Ⅴ（１）",U330="新加算Ⅴ（３）",U330="新加算Ⅴ（８）"),IF(OR(AQ330="○",AQ330="令和６年度中に満たす"),"入力済","未入力"),"")</f>
        <v/>
      </c>
      <c r="BJ330" s="1512"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493" t="str">
        <f>IF(OR(U330="新加算Ⅰ",U330="新加算Ⅴ（１）",U330="新加算Ⅴ（２）",U330="新加算Ⅴ（５）",U330="新加算Ⅴ（７）",U330="新加算Ⅴ（10）"),IF(AS330="","未入力","入力済"),"")</f>
        <v/>
      </c>
      <c r="BL330" s="543" t="str">
        <f>G330</f>
        <v/>
      </c>
    </row>
    <row r="331" spans="1:64" ht="15" customHeight="1">
      <c r="A331" s="1226"/>
      <c r="B331" s="1272"/>
      <c r="C331" s="1261"/>
      <c r="D331" s="1261"/>
      <c r="E331" s="1261"/>
      <c r="F331" s="1262"/>
      <c r="G331" s="1266"/>
      <c r="H331" s="1266"/>
      <c r="I331" s="1266"/>
      <c r="J331" s="1372"/>
      <c r="K331" s="1266"/>
      <c r="L331" s="1247"/>
      <c r="M331" s="1374"/>
      <c r="N331" s="1370" t="str">
        <f>IF('別紙様式2-2（４・５月分）'!Q252="","",'別紙様式2-2（４・５月分）'!Q252)</f>
        <v/>
      </c>
      <c r="O331" s="1367"/>
      <c r="P331" s="1383"/>
      <c r="Q331" s="1384"/>
      <c r="R331" s="1385"/>
      <c r="S331" s="1393"/>
      <c r="T331" s="1414"/>
      <c r="U331" s="1416"/>
      <c r="V331" s="1458"/>
      <c r="W331" s="1351"/>
      <c r="X331" s="1353"/>
      <c r="Y331" s="1355"/>
      <c r="Z331" s="1353"/>
      <c r="AA331" s="1355"/>
      <c r="AB331" s="1353"/>
      <c r="AC331" s="1355"/>
      <c r="AD331" s="1353"/>
      <c r="AE331" s="1355"/>
      <c r="AF331" s="1355"/>
      <c r="AG331" s="1355"/>
      <c r="AH331" s="1361"/>
      <c r="AI331" s="1482"/>
      <c r="AJ331" s="1484"/>
      <c r="AK331" s="1486"/>
      <c r="AL331" s="1434"/>
      <c r="AM331" s="1488"/>
      <c r="AN331" s="1503"/>
      <c r="AO331" s="1365"/>
      <c r="AP331" s="1404"/>
      <c r="AQ331" s="1404"/>
      <c r="AR331" s="1490"/>
      <c r="AS331" s="1492"/>
      <c r="AT331" s="1331" t="str">
        <f t="shared" si="270"/>
        <v/>
      </c>
      <c r="AU331" s="651"/>
      <c r="AV331" s="1493"/>
      <c r="AW331" s="1518" t="str">
        <f>IF('別紙様式2-2（４・５月分）'!O252="","",'別紙様式2-2（４・５月分）'!O252)</f>
        <v/>
      </c>
      <c r="AX331" s="1507"/>
      <c r="AY331" s="1506"/>
      <c r="AZ331" s="1321"/>
      <c r="BA331" s="1321"/>
      <c r="BB331" s="1321"/>
      <c r="BC331" s="1321"/>
      <c r="BD331" s="1321"/>
      <c r="BE331" s="1321"/>
      <c r="BF331" s="1321"/>
      <c r="BG331" s="1321"/>
      <c r="BH331" s="1321"/>
      <c r="BI331" s="1321"/>
      <c r="BJ331" s="1512"/>
      <c r="BK331" s="1493"/>
      <c r="BL331" s="543" t="str">
        <f>G330</f>
        <v/>
      </c>
    </row>
    <row r="332" spans="1:64" ht="15" customHeight="1">
      <c r="A332" s="1240"/>
      <c r="B332" s="1272"/>
      <c r="C332" s="1261"/>
      <c r="D332" s="1261"/>
      <c r="E332" s="1261"/>
      <c r="F332" s="1262"/>
      <c r="G332" s="1266"/>
      <c r="H332" s="1266"/>
      <c r="I332" s="1266"/>
      <c r="J332" s="1372"/>
      <c r="K332" s="1266"/>
      <c r="L332" s="1247"/>
      <c r="M332" s="1374"/>
      <c r="N332" s="1371"/>
      <c r="O332" s="1368"/>
      <c r="P332" s="1390" t="s">
        <v>2179</v>
      </c>
      <c r="Q332" s="1386" t="str">
        <f>IFERROR(VLOOKUP('別紙様式2-2（４・５月分）'!AR251,【参考】数式用!$AT$5:$AV$22,3,FALSE),"")</f>
        <v/>
      </c>
      <c r="R332" s="1388" t="s">
        <v>2190</v>
      </c>
      <c r="S332" s="1394" t="str">
        <f>IFERROR(VLOOKUP(K330,【参考】数式用!$A$5:$AB$27,MATCH(Q332,【参考】数式用!$B$4:$AB$4,0)+1,0),"")</f>
        <v/>
      </c>
      <c r="T332" s="1459" t="s">
        <v>217</v>
      </c>
      <c r="U332" s="1461"/>
      <c r="V332" s="1463" t="str">
        <f>IFERROR(VLOOKUP(K330,【参考】数式用!$A$5:$AB$27,MATCH(U332,【参考】数式用!$B$4:$AB$4,0)+1,0),"")</f>
        <v/>
      </c>
      <c r="W332" s="1465" t="s">
        <v>19</v>
      </c>
      <c r="X332" s="1508">
        <v>7</v>
      </c>
      <c r="Y332" s="1407" t="s">
        <v>10</v>
      </c>
      <c r="Z332" s="1508">
        <v>4</v>
      </c>
      <c r="AA332" s="1407" t="s">
        <v>45</v>
      </c>
      <c r="AB332" s="1508">
        <v>8</v>
      </c>
      <c r="AC332" s="1407" t="s">
        <v>10</v>
      </c>
      <c r="AD332" s="1508">
        <v>3</v>
      </c>
      <c r="AE332" s="1407" t="s">
        <v>13</v>
      </c>
      <c r="AF332" s="1407" t="s">
        <v>24</v>
      </c>
      <c r="AG332" s="1407">
        <f>IF(X332&gt;=1,(AB332*12+AD332)-(X332*12+Z332)+1,"")</f>
        <v>12</v>
      </c>
      <c r="AH332" s="1409" t="s">
        <v>38</v>
      </c>
      <c r="AI332" s="1496" t="str">
        <f>IFERROR(ROUNDDOWN(ROUND(L330*V332,0)*M330,0)*AG332,"")</f>
        <v/>
      </c>
      <c r="AJ332" s="1510" t="str">
        <f>IFERROR(ROUNDDOWN(ROUND((L330*(V332-AX330)),0)*M330,0)*AG332,"")</f>
        <v/>
      </c>
      <c r="AK332" s="1494">
        <f>IFERROR(IF(OR(N330="",N331="",N333=""),0,ROUNDDOWN(ROUNDDOWN(ROUND(L330*VLOOKUP(K330,【参考】数式用!$A$5:$AB$27,MATCH("新加算Ⅳ",【参考】数式用!$B$4:$AB$4,0)+1,0),0)*M330,0)*AG332*0.5,0)),"")</f>
        <v>0</v>
      </c>
      <c r="AL332" s="1435" t="str">
        <f t="shared" ref="AL332" si="328">IF(U332&lt;&gt;"","新規に適用","")</f>
        <v/>
      </c>
      <c r="AM332" s="1498">
        <f>IFERROR(IF(OR(N333="ベア加算",N333=""),0, IF(OR(U330="新加算Ⅰ",U330="新加算Ⅱ",U330="新加算Ⅲ",U330="新加算Ⅳ"),0,ROUNDDOWN(ROUND(L330*VLOOKUP(K330,【参考】数式用!$A$5:$I$27,MATCH("ベア加算",【参考】数式用!$B$4:$I$4,0)+1,0),0)*M330,0)*AG332)),"")</f>
        <v>0</v>
      </c>
      <c r="AN332" s="1356" t="str">
        <f t="shared" ref="AN332" si="329">IF(AM332=0,"",IF(AND(U332&lt;&gt;"",AN330=""),"新規に適用",IF(AND(U332&lt;&gt;"",AN330&lt;&gt;""),"継続で適用","")))</f>
        <v/>
      </c>
      <c r="AO332" s="1356" t="str">
        <f>IF(AND(U332&lt;&gt;"",AO330=""),"新規に適用",IF(AND(U332&lt;&gt;"",AO330&lt;&gt;""),"継続で適用",""))</f>
        <v/>
      </c>
      <c r="AP332" s="1358"/>
      <c r="AQ332" s="1356" t="str">
        <f>IF(AND(U332&lt;&gt;"",AQ330=""),"新規に適用",IF(AND(U332&lt;&gt;"",AQ330&lt;&gt;""),"継続で適用",""))</f>
        <v/>
      </c>
      <c r="AR332" s="1344" t="str">
        <f t="shared" si="293"/>
        <v/>
      </c>
      <c r="AS332" s="1356" t="str">
        <f>IF(AND(U332&lt;&gt;"",AS330=""),"新規に適用",IF(AND(U332&lt;&gt;"",AS330&lt;&gt;""),"継続で適用",""))</f>
        <v/>
      </c>
      <c r="AT332" s="1331"/>
      <c r="AU332" s="651"/>
      <c r="AV332" s="1493" t="str">
        <f>IF(K330&lt;&gt;"","V列に色付け","")</f>
        <v/>
      </c>
      <c r="AW332" s="1518"/>
      <c r="AX332" s="1507"/>
      <c r="AY332" s="163"/>
      <c r="AZ332" s="163"/>
      <c r="BA332" s="163"/>
      <c r="BB332" s="163"/>
      <c r="BC332" s="163"/>
      <c r="BD332" s="163"/>
      <c r="BE332" s="163"/>
      <c r="BF332" s="163"/>
      <c r="BG332" s="163"/>
      <c r="BH332" s="163"/>
      <c r="BI332" s="163"/>
      <c r="BJ332" s="163"/>
      <c r="BK332" s="163"/>
      <c r="BL332" s="543" t="str">
        <f>G330</f>
        <v/>
      </c>
    </row>
    <row r="333" spans="1:64" ht="30" customHeight="1" thickBot="1">
      <c r="A333" s="1227"/>
      <c r="B333" s="1376"/>
      <c r="C333" s="1377"/>
      <c r="D333" s="1377"/>
      <c r="E333" s="1377"/>
      <c r="F333" s="1378"/>
      <c r="G333" s="1267"/>
      <c r="H333" s="1267"/>
      <c r="I333" s="1267"/>
      <c r="J333" s="1373"/>
      <c r="K333" s="1267"/>
      <c r="L333" s="1248"/>
      <c r="M333" s="1375"/>
      <c r="N333" s="650" t="str">
        <f>IF('別紙様式2-2（４・５月分）'!Q253="","",'別紙様式2-2（４・５月分）'!Q253)</f>
        <v/>
      </c>
      <c r="O333" s="1369"/>
      <c r="P333" s="1391"/>
      <c r="Q333" s="1387"/>
      <c r="R333" s="1389"/>
      <c r="S333" s="1395"/>
      <c r="T333" s="1460"/>
      <c r="U333" s="1462"/>
      <c r="V333" s="1464"/>
      <c r="W333" s="1466"/>
      <c r="X333" s="1509"/>
      <c r="Y333" s="1408"/>
      <c r="Z333" s="1509"/>
      <c r="AA333" s="1408"/>
      <c r="AB333" s="1509"/>
      <c r="AC333" s="1408"/>
      <c r="AD333" s="1509"/>
      <c r="AE333" s="1408"/>
      <c r="AF333" s="1408"/>
      <c r="AG333" s="1408"/>
      <c r="AH333" s="1410"/>
      <c r="AI333" s="1497"/>
      <c r="AJ333" s="1511"/>
      <c r="AK333" s="1495"/>
      <c r="AL333" s="1436"/>
      <c r="AM333" s="1499"/>
      <c r="AN333" s="1357"/>
      <c r="AO333" s="1357"/>
      <c r="AP333" s="1359"/>
      <c r="AQ333" s="1357"/>
      <c r="AR333" s="1345"/>
      <c r="AS333" s="1357"/>
      <c r="AT333" s="581" t="str">
        <f t="shared" ref="AT333" si="330">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51"/>
      <c r="AV333" s="1493"/>
      <c r="AW333" s="652" t="str">
        <f>IF('別紙様式2-2（４・５月分）'!O253="","",'別紙様式2-2（４・５月分）'!O253)</f>
        <v/>
      </c>
      <c r="AX333" s="1507"/>
      <c r="AY333" s="163"/>
      <c r="AZ333" s="163"/>
      <c r="BA333" s="163"/>
      <c r="BB333" s="163"/>
      <c r="BC333" s="163"/>
      <c r="BD333" s="163"/>
      <c r="BE333" s="163"/>
      <c r="BF333" s="163"/>
      <c r="BG333" s="163"/>
      <c r="BH333" s="163"/>
      <c r="BI333" s="163"/>
      <c r="BJ333" s="163"/>
      <c r="BK333" s="163"/>
      <c r="BL333" s="543" t="str">
        <f>G330</f>
        <v/>
      </c>
    </row>
    <row r="334" spans="1:64" ht="30" customHeight="1">
      <c r="A334" s="1225">
        <v>81</v>
      </c>
      <c r="B334" s="1271" t="str">
        <f>IF(基本情報入力シート!C134="","",基本情報入力シート!C134)</f>
        <v/>
      </c>
      <c r="C334" s="1259"/>
      <c r="D334" s="1259"/>
      <c r="E334" s="1259"/>
      <c r="F334" s="1260"/>
      <c r="G334" s="1265" t="str">
        <f>IF(基本情報入力シート!M134="","",基本情報入力シート!M134)</f>
        <v/>
      </c>
      <c r="H334" s="1265" t="str">
        <f>IF(基本情報入力シート!R134="","",基本情報入力シート!R134)</f>
        <v/>
      </c>
      <c r="I334" s="1265" t="str">
        <f>IF(基本情報入力シート!W134="","",基本情報入力シート!W134)</f>
        <v/>
      </c>
      <c r="J334" s="1379" t="str">
        <f>IF(基本情報入力シート!X134="","",基本情報入力シート!X134)</f>
        <v/>
      </c>
      <c r="K334" s="1265" t="str">
        <f>IF(基本情報入力シート!Y134="","",基本情報入力シート!Y134)</f>
        <v/>
      </c>
      <c r="L334" s="1246" t="str">
        <f>IF(基本情報入力シート!AB134="","",基本情報入力シート!AB134)</f>
        <v/>
      </c>
      <c r="M334" s="1249" t="str">
        <f>IF(基本情報入力シート!AC134="","",基本情報入力シート!AC134)</f>
        <v/>
      </c>
      <c r="N334" s="647" t="str">
        <f>IF('別紙様式2-2（４・５月分）'!Q254="","",'別紙様式2-2（４・５月分）'!Q254)</f>
        <v/>
      </c>
      <c r="O334" s="1366" t="str">
        <f>IF(SUM('別紙様式2-2（４・５月分）'!R254:R256)=0,"",SUM('別紙様式2-2（４・５月分）'!R254:R256))</f>
        <v/>
      </c>
      <c r="P334" s="1380" t="str">
        <f>IFERROR(VLOOKUP('別紙様式2-2（４・５月分）'!AR254,【参考】数式用!$AT$5:$AU$22,2,FALSE),"")</f>
        <v/>
      </c>
      <c r="Q334" s="1381"/>
      <c r="R334" s="1382"/>
      <c r="S334" s="1392" t="str">
        <f>IFERROR(VLOOKUP(K334,【参考】数式用!$A$5:$AB$27,MATCH(P334,【参考】数式用!$B$4:$AB$4,0)+1,0),"")</f>
        <v/>
      </c>
      <c r="T334" s="1413" t="s">
        <v>2173</v>
      </c>
      <c r="U334" s="1415"/>
      <c r="V334" s="1457" t="str">
        <f>IFERROR(VLOOKUP(K334,【参考】数式用!$A$5:$AB$27,MATCH(U334,【参考】数式用!$B$4:$AB$4,0)+1,0),"")</f>
        <v/>
      </c>
      <c r="W334" s="1350" t="s">
        <v>19</v>
      </c>
      <c r="X334" s="1352">
        <v>6</v>
      </c>
      <c r="Y334" s="1354" t="s">
        <v>10</v>
      </c>
      <c r="Z334" s="1352">
        <v>6</v>
      </c>
      <c r="AA334" s="1354" t="s">
        <v>45</v>
      </c>
      <c r="AB334" s="1352">
        <v>7</v>
      </c>
      <c r="AC334" s="1354" t="s">
        <v>10</v>
      </c>
      <c r="AD334" s="1352">
        <v>3</v>
      </c>
      <c r="AE334" s="1354" t="s">
        <v>13</v>
      </c>
      <c r="AF334" s="1354" t="s">
        <v>24</v>
      </c>
      <c r="AG334" s="1354">
        <f>IF(X334&gt;=1,(AB334*12+AD334)-(X334*12+Z334)+1,"")</f>
        <v>10</v>
      </c>
      <c r="AH334" s="1360" t="s">
        <v>38</v>
      </c>
      <c r="AI334" s="1481" t="str">
        <f>IFERROR(ROUNDDOWN(ROUND(L334*V334,0)*M334,0)*AG334,"")</f>
        <v/>
      </c>
      <c r="AJ334" s="1483" t="str">
        <f>IFERROR(ROUNDDOWN(ROUND((L334*(V334-AX334)),0)*M334,0)*AG334,"")</f>
        <v/>
      </c>
      <c r="AK334" s="1485">
        <f>IFERROR(IF(OR(N334="",N335="",N337=""),0,ROUNDDOWN(ROUNDDOWN(ROUND(L334*VLOOKUP(K334,【参考】数式用!$A$5:$AB$27,MATCH("新加算Ⅳ",【参考】数式用!$B$4:$AB$4,0)+1,0),0)*M334,0)*AG334*0.5,0)),"")</f>
        <v>0</v>
      </c>
      <c r="AL334" s="1433"/>
      <c r="AM334" s="1487">
        <f>IFERROR(IF(OR(N337="ベア加算",N337=""),0, IF(OR(U334="新加算Ⅰ",U334="新加算Ⅱ",U334="新加算Ⅲ",U334="新加算Ⅳ"),ROUNDDOWN(ROUND(L334*VLOOKUP(K334,【参考】数式用!$A$5:$I$27,MATCH("ベア加算",【参考】数式用!$B$4:$I$4,0)+1,0),0)*M334,0)*AG334,0)),"")</f>
        <v>0</v>
      </c>
      <c r="AN334" s="1502"/>
      <c r="AO334" s="1364"/>
      <c r="AP334" s="1403"/>
      <c r="AQ334" s="1403"/>
      <c r="AR334" s="1489"/>
      <c r="AS334" s="1491"/>
      <c r="AT334" s="556" t="str">
        <f t="shared" si="268"/>
        <v/>
      </c>
      <c r="AU334" s="651"/>
      <c r="AV334" s="1493" t="str">
        <f>IF(K334&lt;&gt;"","V列に色付け","")</f>
        <v/>
      </c>
      <c r="AW334" s="652" t="str">
        <f>IF('別紙様式2-2（４・５月分）'!O254="","",'別紙様式2-2（４・５月分）'!O254)</f>
        <v/>
      </c>
      <c r="AX334" s="1507" t="str">
        <f>IF(SUM('別紙様式2-2（４・５月分）'!P254:P256)=0,"",SUM('別紙様式2-2（４・５月分）'!P254:P256))</f>
        <v/>
      </c>
      <c r="AY334" s="1506" t="str">
        <f>IFERROR(VLOOKUP(K334,【参考】数式用!$AJ$2:$AK$24,2,FALSE),"")</f>
        <v/>
      </c>
      <c r="AZ334" s="1321" t="s">
        <v>2098</v>
      </c>
      <c r="BA334" s="1321" t="s">
        <v>2099</v>
      </c>
      <c r="BB334" s="1321" t="s">
        <v>2100</v>
      </c>
      <c r="BC334" s="1321" t="s">
        <v>2101</v>
      </c>
      <c r="BD334" s="1321" t="str">
        <f>IF(AND(P334&lt;&gt;"新加算Ⅰ",P334&lt;&gt;"新加算Ⅱ",P334&lt;&gt;"新加算Ⅲ",P334&lt;&gt;"新加算Ⅳ"),P334,IF(Q336&lt;&gt;"",Q336,""))</f>
        <v/>
      </c>
      <c r="BE334" s="1321"/>
      <c r="BF334" s="1321" t="str">
        <f t="shared" ref="BF334" si="331">IF(AM334&lt;&gt;0,IF(AN334="○","入力済","未入力"),"")</f>
        <v/>
      </c>
      <c r="BG334" s="1321"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321" t="str">
        <f>IF(OR(U334="新加算Ⅴ（７）",U334="新加算Ⅴ（９）",U334="新加算Ⅴ（10）",U334="新加算Ⅴ（12）",U334="新加算Ⅴ（13）",U334="新加算Ⅴ（14）"),IF(OR(AP334="○",AP334="令和６年度中に満たす"),"入力済","未入力"),"")</f>
        <v/>
      </c>
      <c r="BI334" s="1321" t="str">
        <f>IF(OR(U334="新加算Ⅰ",U334="新加算Ⅱ",U334="新加算Ⅲ",U334="新加算Ⅴ（１）",U334="新加算Ⅴ（３）",U334="新加算Ⅴ（８）"),IF(OR(AQ334="○",AQ334="令和６年度中に満たす"),"入力済","未入力"),"")</f>
        <v/>
      </c>
      <c r="BJ334" s="1512"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493" t="str">
        <f>IF(OR(U334="新加算Ⅰ",U334="新加算Ⅴ（１）",U334="新加算Ⅴ（２）",U334="新加算Ⅴ（５）",U334="新加算Ⅴ（７）",U334="新加算Ⅴ（10）"),IF(AS334="","未入力","入力済"),"")</f>
        <v/>
      </c>
      <c r="BL334" s="543" t="str">
        <f>G334</f>
        <v/>
      </c>
    </row>
    <row r="335" spans="1:64" ht="15" customHeight="1">
      <c r="A335" s="1226"/>
      <c r="B335" s="1272"/>
      <c r="C335" s="1261"/>
      <c r="D335" s="1261"/>
      <c r="E335" s="1261"/>
      <c r="F335" s="1262"/>
      <c r="G335" s="1266"/>
      <c r="H335" s="1266"/>
      <c r="I335" s="1266"/>
      <c r="J335" s="1372"/>
      <c r="K335" s="1266"/>
      <c r="L335" s="1247"/>
      <c r="M335" s="1250"/>
      <c r="N335" s="1370" t="str">
        <f>IF('別紙様式2-2（４・５月分）'!Q255="","",'別紙様式2-2（４・５月分）'!Q255)</f>
        <v/>
      </c>
      <c r="O335" s="1367"/>
      <c r="P335" s="1383"/>
      <c r="Q335" s="1384"/>
      <c r="R335" s="1385"/>
      <c r="S335" s="1393"/>
      <c r="T335" s="1414"/>
      <c r="U335" s="1416"/>
      <c r="V335" s="1458"/>
      <c r="W335" s="1351"/>
      <c r="X335" s="1353"/>
      <c r="Y335" s="1355"/>
      <c r="Z335" s="1353"/>
      <c r="AA335" s="1355"/>
      <c r="AB335" s="1353"/>
      <c r="AC335" s="1355"/>
      <c r="AD335" s="1353"/>
      <c r="AE335" s="1355"/>
      <c r="AF335" s="1355"/>
      <c r="AG335" s="1355"/>
      <c r="AH335" s="1361"/>
      <c r="AI335" s="1482"/>
      <c r="AJ335" s="1484"/>
      <c r="AK335" s="1486"/>
      <c r="AL335" s="1434"/>
      <c r="AM335" s="1488"/>
      <c r="AN335" s="1503"/>
      <c r="AO335" s="1365"/>
      <c r="AP335" s="1404"/>
      <c r="AQ335" s="1404"/>
      <c r="AR335" s="1490"/>
      <c r="AS335" s="1492"/>
      <c r="AT335" s="1331" t="str">
        <f t="shared" si="270"/>
        <v/>
      </c>
      <c r="AU335" s="651"/>
      <c r="AV335" s="1493"/>
      <c r="AW335" s="1518" t="str">
        <f>IF('別紙様式2-2（４・５月分）'!O255="","",'別紙様式2-2（４・５月分）'!O255)</f>
        <v/>
      </c>
      <c r="AX335" s="1507"/>
      <c r="AY335" s="1506"/>
      <c r="AZ335" s="1321"/>
      <c r="BA335" s="1321"/>
      <c r="BB335" s="1321"/>
      <c r="BC335" s="1321"/>
      <c r="BD335" s="1321"/>
      <c r="BE335" s="1321"/>
      <c r="BF335" s="1321"/>
      <c r="BG335" s="1321"/>
      <c r="BH335" s="1321"/>
      <c r="BI335" s="1321"/>
      <c r="BJ335" s="1512"/>
      <c r="BK335" s="1493"/>
      <c r="BL335" s="543" t="str">
        <f>G334</f>
        <v/>
      </c>
    </row>
    <row r="336" spans="1:64" ht="15" customHeight="1">
      <c r="A336" s="1240"/>
      <c r="B336" s="1272"/>
      <c r="C336" s="1261"/>
      <c r="D336" s="1261"/>
      <c r="E336" s="1261"/>
      <c r="F336" s="1262"/>
      <c r="G336" s="1266"/>
      <c r="H336" s="1266"/>
      <c r="I336" s="1266"/>
      <c r="J336" s="1372"/>
      <c r="K336" s="1266"/>
      <c r="L336" s="1247"/>
      <c r="M336" s="1250"/>
      <c r="N336" s="1371"/>
      <c r="O336" s="1368"/>
      <c r="P336" s="1390" t="s">
        <v>2179</v>
      </c>
      <c r="Q336" s="1386" t="str">
        <f>IFERROR(VLOOKUP('別紙様式2-2（４・５月分）'!AR254,【参考】数式用!$AT$5:$AV$22,3,FALSE),"")</f>
        <v/>
      </c>
      <c r="R336" s="1388" t="s">
        <v>2190</v>
      </c>
      <c r="S336" s="1396" t="str">
        <f>IFERROR(VLOOKUP(K334,【参考】数式用!$A$5:$AB$27,MATCH(Q336,【参考】数式用!$B$4:$AB$4,0)+1,0),"")</f>
        <v/>
      </c>
      <c r="T336" s="1459" t="s">
        <v>217</v>
      </c>
      <c r="U336" s="1461"/>
      <c r="V336" s="1463" t="str">
        <f>IFERROR(VLOOKUP(K334,【参考】数式用!$A$5:$AB$27,MATCH(U336,【参考】数式用!$B$4:$AB$4,0)+1,0),"")</f>
        <v/>
      </c>
      <c r="W336" s="1465" t="s">
        <v>19</v>
      </c>
      <c r="X336" s="1508">
        <v>7</v>
      </c>
      <c r="Y336" s="1407" t="s">
        <v>10</v>
      </c>
      <c r="Z336" s="1508">
        <v>4</v>
      </c>
      <c r="AA336" s="1407" t="s">
        <v>45</v>
      </c>
      <c r="AB336" s="1508">
        <v>8</v>
      </c>
      <c r="AC336" s="1407" t="s">
        <v>10</v>
      </c>
      <c r="AD336" s="1508">
        <v>3</v>
      </c>
      <c r="AE336" s="1407" t="s">
        <v>13</v>
      </c>
      <c r="AF336" s="1407" t="s">
        <v>24</v>
      </c>
      <c r="AG336" s="1407">
        <f>IF(X336&gt;=1,(AB336*12+AD336)-(X336*12+Z336)+1,"")</f>
        <v>12</v>
      </c>
      <c r="AH336" s="1409" t="s">
        <v>38</v>
      </c>
      <c r="AI336" s="1496" t="str">
        <f>IFERROR(ROUNDDOWN(ROUND(L334*V336,0)*M334,0)*AG336,"")</f>
        <v/>
      </c>
      <c r="AJ336" s="1510" t="str">
        <f>IFERROR(ROUNDDOWN(ROUND((L334*(V336-AX334)),0)*M334,0)*AG336,"")</f>
        <v/>
      </c>
      <c r="AK336" s="1494">
        <f>IFERROR(IF(OR(N334="",N335="",N337=""),0,ROUNDDOWN(ROUNDDOWN(ROUND(L334*VLOOKUP(K334,【参考】数式用!$A$5:$AB$27,MATCH("新加算Ⅳ",【参考】数式用!$B$4:$AB$4,0)+1,0),0)*M334,0)*AG336*0.5,0)),"")</f>
        <v>0</v>
      </c>
      <c r="AL336" s="1435" t="str">
        <f t="shared" ref="AL336" si="332">IF(U336&lt;&gt;"","新規に適用","")</f>
        <v/>
      </c>
      <c r="AM336" s="1498">
        <f>IFERROR(IF(OR(N337="ベア加算",N337=""),0, IF(OR(U334="新加算Ⅰ",U334="新加算Ⅱ",U334="新加算Ⅲ",U334="新加算Ⅳ"),0,ROUNDDOWN(ROUND(L334*VLOOKUP(K334,【参考】数式用!$A$5:$I$27,MATCH("ベア加算",【参考】数式用!$B$4:$I$4,0)+1,0),0)*M334,0)*AG336)),"")</f>
        <v>0</v>
      </c>
      <c r="AN336" s="1356" t="str">
        <f t="shared" ref="AN336" si="333">IF(AM336=0,"",IF(AND(U336&lt;&gt;"",AN334=""),"新規に適用",IF(AND(U336&lt;&gt;"",AN334&lt;&gt;""),"継続で適用","")))</f>
        <v/>
      </c>
      <c r="AO336" s="1356" t="str">
        <f>IF(AND(U336&lt;&gt;"",AO334=""),"新規に適用",IF(AND(U336&lt;&gt;"",AO334&lt;&gt;""),"継続で適用",""))</f>
        <v/>
      </c>
      <c r="AP336" s="1358"/>
      <c r="AQ336" s="1356" t="str">
        <f>IF(AND(U336&lt;&gt;"",AQ334=""),"新規に適用",IF(AND(U336&lt;&gt;"",AQ334&lt;&gt;""),"継続で適用",""))</f>
        <v/>
      </c>
      <c r="AR336" s="1344" t="str">
        <f t="shared" si="293"/>
        <v/>
      </c>
      <c r="AS336" s="1356" t="str">
        <f>IF(AND(U336&lt;&gt;"",AS334=""),"新規に適用",IF(AND(U336&lt;&gt;"",AS334&lt;&gt;""),"継続で適用",""))</f>
        <v/>
      </c>
      <c r="AT336" s="1331"/>
      <c r="AU336" s="651"/>
      <c r="AV336" s="1493" t="str">
        <f>IF(K334&lt;&gt;"","V列に色付け","")</f>
        <v/>
      </c>
      <c r="AW336" s="1518"/>
      <c r="AX336" s="1507"/>
      <c r="AY336" s="163"/>
      <c r="AZ336" s="163"/>
      <c r="BA336" s="163"/>
      <c r="BB336" s="163"/>
      <c r="BC336" s="163"/>
      <c r="BD336" s="163"/>
      <c r="BE336" s="163"/>
      <c r="BF336" s="163"/>
      <c r="BG336" s="163"/>
      <c r="BH336" s="163"/>
      <c r="BI336" s="163"/>
      <c r="BJ336" s="163"/>
      <c r="BK336" s="163"/>
      <c r="BL336" s="543" t="str">
        <f>G334</f>
        <v/>
      </c>
    </row>
    <row r="337" spans="1:64" ht="30" customHeight="1" thickBot="1">
      <c r="A337" s="1227"/>
      <c r="B337" s="1376"/>
      <c r="C337" s="1377"/>
      <c r="D337" s="1377"/>
      <c r="E337" s="1377"/>
      <c r="F337" s="1378"/>
      <c r="G337" s="1267"/>
      <c r="H337" s="1267"/>
      <c r="I337" s="1267"/>
      <c r="J337" s="1373"/>
      <c r="K337" s="1267"/>
      <c r="L337" s="1248"/>
      <c r="M337" s="1251"/>
      <c r="N337" s="650" t="str">
        <f>IF('別紙様式2-2（４・５月分）'!Q256="","",'別紙様式2-2（４・５月分）'!Q256)</f>
        <v/>
      </c>
      <c r="O337" s="1369"/>
      <c r="P337" s="1391"/>
      <c r="Q337" s="1387"/>
      <c r="R337" s="1389"/>
      <c r="S337" s="1395"/>
      <c r="T337" s="1460"/>
      <c r="U337" s="1462"/>
      <c r="V337" s="1464"/>
      <c r="W337" s="1466"/>
      <c r="X337" s="1509"/>
      <c r="Y337" s="1408"/>
      <c r="Z337" s="1509"/>
      <c r="AA337" s="1408"/>
      <c r="AB337" s="1509"/>
      <c r="AC337" s="1408"/>
      <c r="AD337" s="1509"/>
      <c r="AE337" s="1408"/>
      <c r="AF337" s="1408"/>
      <c r="AG337" s="1408"/>
      <c r="AH337" s="1410"/>
      <c r="AI337" s="1497"/>
      <c r="AJ337" s="1511"/>
      <c r="AK337" s="1495"/>
      <c r="AL337" s="1436"/>
      <c r="AM337" s="1499"/>
      <c r="AN337" s="1357"/>
      <c r="AO337" s="1357"/>
      <c r="AP337" s="1359"/>
      <c r="AQ337" s="1357"/>
      <c r="AR337" s="1345"/>
      <c r="AS337" s="1357"/>
      <c r="AT337" s="581" t="str">
        <f t="shared" ref="AT337" si="334">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51"/>
      <c r="AV337" s="1493"/>
      <c r="AW337" s="652" t="str">
        <f>IF('別紙様式2-2（４・５月分）'!O256="","",'別紙様式2-2（４・５月分）'!O256)</f>
        <v/>
      </c>
      <c r="AX337" s="1507"/>
      <c r="AY337" s="163"/>
      <c r="AZ337" s="163"/>
      <c r="BA337" s="163"/>
      <c r="BB337" s="163"/>
      <c r="BC337" s="163"/>
      <c r="BD337" s="163"/>
      <c r="BE337" s="163"/>
      <c r="BF337" s="163"/>
      <c r="BG337" s="163"/>
      <c r="BH337" s="163"/>
      <c r="BI337" s="163"/>
      <c r="BJ337" s="163"/>
      <c r="BK337" s="163"/>
      <c r="BL337" s="543" t="str">
        <f>G334</f>
        <v/>
      </c>
    </row>
    <row r="338" spans="1:64" ht="30" customHeight="1">
      <c r="A338" s="1241">
        <v>82</v>
      </c>
      <c r="B338" s="1272" t="str">
        <f>IF(基本情報入力シート!C135="","",基本情報入力シート!C135)</f>
        <v/>
      </c>
      <c r="C338" s="1261"/>
      <c r="D338" s="1261"/>
      <c r="E338" s="1261"/>
      <c r="F338" s="1262"/>
      <c r="G338" s="1266" t="str">
        <f>IF(基本情報入力シート!M135="","",基本情報入力シート!M135)</f>
        <v/>
      </c>
      <c r="H338" s="1266" t="str">
        <f>IF(基本情報入力シート!R135="","",基本情報入力シート!R135)</f>
        <v/>
      </c>
      <c r="I338" s="1266" t="str">
        <f>IF(基本情報入力シート!W135="","",基本情報入力シート!W135)</f>
        <v/>
      </c>
      <c r="J338" s="1372" t="str">
        <f>IF(基本情報入力シート!X135="","",基本情報入力シート!X135)</f>
        <v/>
      </c>
      <c r="K338" s="1266" t="str">
        <f>IF(基本情報入力シート!Y135="","",基本情報入力シート!Y135)</f>
        <v/>
      </c>
      <c r="L338" s="1247" t="str">
        <f>IF(基本情報入力シート!AB135="","",基本情報入力シート!AB135)</f>
        <v/>
      </c>
      <c r="M338" s="1374" t="str">
        <f>IF(基本情報入力シート!AC135="","",基本情報入力シート!AC135)</f>
        <v/>
      </c>
      <c r="N338" s="647" t="str">
        <f>IF('別紙様式2-2（４・５月分）'!Q257="","",'別紙様式2-2（４・５月分）'!Q257)</f>
        <v/>
      </c>
      <c r="O338" s="1366" t="str">
        <f>IF(SUM('別紙様式2-2（４・５月分）'!R257:R259)=0,"",SUM('別紙様式2-2（４・５月分）'!R257:R259))</f>
        <v/>
      </c>
      <c r="P338" s="1380" t="str">
        <f>IFERROR(VLOOKUP('別紙様式2-2（４・５月分）'!AR257,【参考】数式用!$AT$5:$AU$22,2,FALSE),"")</f>
        <v/>
      </c>
      <c r="Q338" s="1381"/>
      <c r="R338" s="1382"/>
      <c r="S338" s="1392" t="str">
        <f>IFERROR(VLOOKUP(K338,【参考】数式用!$A$5:$AB$27,MATCH(P338,【参考】数式用!$B$4:$AB$4,0)+1,0),"")</f>
        <v/>
      </c>
      <c r="T338" s="1413" t="s">
        <v>2173</v>
      </c>
      <c r="U338" s="1415"/>
      <c r="V338" s="1457" t="str">
        <f>IFERROR(VLOOKUP(K338,【参考】数式用!$A$5:$AB$27,MATCH(U338,【参考】数式用!$B$4:$AB$4,0)+1,0),"")</f>
        <v/>
      </c>
      <c r="W338" s="1350" t="s">
        <v>19</v>
      </c>
      <c r="X338" s="1352">
        <v>6</v>
      </c>
      <c r="Y338" s="1354" t="s">
        <v>10</v>
      </c>
      <c r="Z338" s="1352">
        <v>6</v>
      </c>
      <c r="AA338" s="1354" t="s">
        <v>45</v>
      </c>
      <c r="AB338" s="1352">
        <v>7</v>
      </c>
      <c r="AC338" s="1354" t="s">
        <v>10</v>
      </c>
      <c r="AD338" s="1352">
        <v>3</v>
      </c>
      <c r="AE338" s="1354" t="s">
        <v>13</v>
      </c>
      <c r="AF338" s="1354" t="s">
        <v>24</v>
      </c>
      <c r="AG338" s="1354">
        <f>IF(X338&gt;=1,(AB338*12+AD338)-(X338*12+Z338)+1,"")</f>
        <v>10</v>
      </c>
      <c r="AH338" s="1360" t="s">
        <v>38</v>
      </c>
      <c r="AI338" s="1481" t="str">
        <f>IFERROR(ROUNDDOWN(ROUND(L338*V338,0)*M338,0)*AG338,"")</f>
        <v/>
      </c>
      <c r="AJ338" s="1483" t="str">
        <f>IFERROR(ROUNDDOWN(ROUND((L338*(V338-AX338)),0)*M338,0)*AG338,"")</f>
        <v/>
      </c>
      <c r="AK338" s="1485">
        <f>IFERROR(IF(OR(N338="",N339="",N341=""),0,ROUNDDOWN(ROUNDDOWN(ROUND(L338*VLOOKUP(K338,【参考】数式用!$A$5:$AB$27,MATCH("新加算Ⅳ",【参考】数式用!$B$4:$AB$4,0)+1,0),0)*M338,0)*AG338*0.5,0)),"")</f>
        <v>0</v>
      </c>
      <c r="AL338" s="1433"/>
      <c r="AM338" s="1487">
        <f>IFERROR(IF(OR(N341="ベア加算",N341=""),0, IF(OR(U338="新加算Ⅰ",U338="新加算Ⅱ",U338="新加算Ⅲ",U338="新加算Ⅳ"),ROUNDDOWN(ROUND(L338*VLOOKUP(K338,【参考】数式用!$A$5:$I$27,MATCH("ベア加算",【参考】数式用!$B$4:$I$4,0)+1,0),0)*M338,0)*AG338,0)),"")</f>
        <v>0</v>
      </c>
      <c r="AN338" s="1502"/>
      <c r="AO338" s="1364"/>
      <c r="AP338" s="1403"/>
      <c r="AQ338" s="1403"/>
      <c r="AR338" s="1489"/>
      <c r="AS338" s="1491"/>
      <c r="AT338" s="556" t="str">
        <f t="shared" ref="AT338:AT398" si="335">IF(AV338="","",IF(V338&lt;O338,"！加算の要件上は問題ありませんが、令和６年４・５月と比較して令和６年６月に加算率が下がる計画になっています。",""))</f>
        <v/>
      </c>
      <c r="AU338" s="651"/>
      <c r="AV338" s="1493" t="str">
        <f>IF(K338&lt;&gt;"","V列に色付け","")</f>
        <v/>
      </c>
      <c r="AW338" s="652" t="str">
        <f>IF('別紙様式2-2（４・５月分）'!O257="","",'別紙様式2-2（４・５月分）'!O257)</f>
        <v/>
      </c>
      <c r="AX338" s="1507" t="str">
        <f>IF(SUM('別紙様式2-2（４・５月分）'!P257:P259)=0,"",SUM('別紙様式2-2（４・５月分）'!P257:P259))</f>
        <v/>
      </c>
      <c r="AY338" s="1506" t="str">
        <f>IFERROR(VLOOKUP(K338,【参考】数式用!$AJ$2:$AK$24,2,FALSE),"")</f>
        <v/>
      </c>
      <c r="AZ338" s="1321" t="s">
        <v>2098</v>
      </c>
      <c r="BA338" s="1321" t="s">
        <v>2099</v>
      </c>
      <c r="BB338" s="1321" t="s">
        <v>2100</v>
      </c>
      <c r="BC338" s="1321" t="s">
        <v>2101</v>
      </c>
      <c r="BD338" s="1321" t="str">
        <f>IF(AND(P338&lt;&gt;"新加算Ⅰ",P338&lt;&gt;"新加算Ⅱ",P338&lt;&gt;"新加算Ⅲ",P338&lt;&gt;"新加算Ⅳ"),P338,IF(Q340&lt;&gt;"",Q340,""))</f>
        <v/>
      </c>
      <c r="BE338" s="1321"/>
      <c r="BF338" s="1321" t="str">
        <f t="shared" ref="BF338" si="336">IF(AM338&lt;&gt;0,IF(AN338="○","入力済","未入力"),"")</f>
        <v/>
      </c>
      <c r="BG338" s="1321"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321" t="str">
        <f>IF(OR(U338="新加算Ⅴ（７）",U338="新加算Ⅴ（９）",U338="新加算Ⅴ（10）",U338="新加算Ⅴ（12）",U338="新加算Ⅴ（13）",U338="新加算Ⅴ（14）"),IF(OR(AP338="○",AP338="令和６年度中に満たす"),"入力済","未入力"),"")</f>
        <v/>
      </c>
      <c r="BI338" s="1321" t="str">
        <f>IF(OR(U338="新加算Ⅰ",U338="新加算Ⅱ",U338="新加算Ⅲ",U338="新加算Ⅴ（１）",U338="新加算Ⅴ（３）",U338="新加算Ⅴ（８）"),IF(OR(AQ338="○",AQ338="令和６年度中に満たす"),"入力済","未入力"),"")</f>
        <v/>
      </c>
      <c r="BJ338" s="1512"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493" t="str">
        <f>IF(OR(U338="新加算Ⅰ",U338="新加算Ⅴ（１）",U338="新加算Ⅴ（２）",U338="新加算Ⅴ（５）",U338="新加算Ⅴ（７）",U338="新加算Ⅴ（10）"),IF(AS338="","未入力","入力済"),"")</f>
        <v/>
      </c>
      <c r="BL338" s="543" t="str">
        <f>G338</f>
        <v/>
      </c>
    </row>
    <row r="339" spans="1:64" ht="15" customHeight="1">
      <c r="A339" s="1226"/>
      <c r="B339" s="1272"/>
      <c r="C339" s="1261"/>
      <c r="D339" s="1261"/>
      <c r="E339" s="1261"/>
      <c r="F339" s="1262"/>
      <c r="G339" s="1266"/>
      <c r="H339" s="1266"/>
      <c r="I339" s="1266"/>
      <c r="J339" s="1372"/>
      <c r="K339" s="1266"/>
      <c r="L339" s="1247"/>
      <c r="M339" s="1374"/>
      <c r="N339" s="1370" t="str">
        <f>IF('別紙様式2-2（４・５月分）'!Q258="","",'別紙様式2-2（４・５月分）'!Q258)</f>
        <v/>
      </c>
      <c r="O339" s="1367"/>
      <c r="P339" s="1383"/>
      <c r="Q339" s="1384"/>
      <c r="R339" s="1385"/>
      <c r="S339" s="1393"/>
      <c r="T339" s="1414"/>
      <c r="U339" s="1416"/>
      <c r="V339" s="1458"/>
      <c r="W339" s="1351"/>
      <c r="X339" s="1353"/>
      <c r="Y339" s="1355"/>
      <c r="Z339" s="1353"/>
      <c r="AA339" s="1355"/>
      <c r="AB339" s="1353"/>
      <c r="AC339" s="1355"/>
      <c r="AD339" s="1353"/>
      <c r="AE339" s="1355"/>
      <c r="AF339" s="1355"/>
      <c r="AG339" s="1355"/>
      <c r="AH339" s="1361"/>
      <c r="AI339" s="1482"/>
      <c r="AJ339" s="1484"/>
      <c r="AK339" s="1486"/>
      <c r="AL339" s="1434"/>
      <c r="AM339" s="1488"/>
      <c r="AN339" s="1503"/>
      <c r="AO339" s="1365"/>
      <c r="AP339" s="1404"/>
      <c r="AQ339" s="1404"/>
      <c r="AR339" s="1490"/>
      <c r="AS339" s="1492"/>
      <c r="AT339" s="1331" t="str">
        <f t="shared" ref="AT339:AT399" si="337">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51"/>
      <c r="AV339" s="1493"/>
      <c r="AW339" s="1518" t="str">
        <f>IF('別紙様式2-2（４・５月分）'!O258="","",'別紙様式2-2（４・５月分）'!O258)</f>
        <v/>
      </c>
      <c r="AX339" s="1507"/>
      <c r="AY339" s="1506"/>
      <c r="AZ339" s="1321"/>
      <c r="BA339" s="1321"/>
      <c r="BB339" s="1321"/>
      <c r="BC339" s="1321"/>
      <c r="BD339" s="1321"/>
      <c r="BE339" s="1321"/>
      <c r="BF339" s="1321"/>
      <c r="BG339" s="1321"/>
      <c r="BH339" s="1321"/>
      <c r="BI339" s="1321"/>
      <c r="BJ339" s="1512"/>
      <c r="BK339" s="1493"/>
      <c r="BL339" s="543" t="str">
        <f>G338</f>
        <v/>
      </c>
    </row>
    <row r="340" spans="1:64" ht="15" customHeight="1">
      <c r="A340" s="1240"/>
      <c r="B340" s="1272"/>
      <c r="C340" s="1261"/>
      <c r="D340" s="1261"/>
      <c r="E340" s="1261"/>
      <c r="F340" s="1262"/>
      <c r="G340" s="1266"/>
      <c r="H340" s="1266"/>
      <c r="I340" s="1266"/>
      <c r="J340" s="1372"/>
      <c r="K340" s="1266"/>
      <c r="L340" s="1247"/>
      <c r="M340" s="1374"/>
      <c r="N340" s="1371"/>
      <c r="O340" s="1368"/>
      <c r="P340" s="1390" t="s">
        <v>2179</v>
      </c>
      <c r="Q340" s="1386" t="str">
        <f>IFERROR(VLOOKUP('別紙様式2-2（４・５月分）'!AR257,【参考】数式用!$AT$5:$AV$22,3,FALSE),"")</f>
        <v/>
      </c>
      <c r="R340" s="1388" t="s">
        <v>2190</v>
      </c>
      <c r="S340" s="1394" t="str">
        <f>IFERROR(VLOOKUP(K338,【参考】数式用!$A$5:$AB$27,MATCH(Q340,【参考】数式用!$B$4:$AB$4,0)+1,0),"")</f>
        <v/>
      </c>
      <c r="T340" s="1459" t="s">
        <v>217</v>
      </c>
      <c r="U340" s="1461"/>
      <c r="V340" s="1463" t="str">
        <f>IFERROR(VLOOKUP(K338,【参考】数式用!$A$5:$AB$27,MATCH(U340,【参考】数式用!$B$4:$AB$4,0)+1,0),"")</f>
        <v/>
      </c>
      <c r="W340" s="1465" t="s">
        <v>19</v>
      </c>
      <c r="X340" s="1508">
        <v>7</v>
      </c>
      <c r="Y340" s="1407" t="s">
        <v>10</v>
      </c>
      <c r="Z340" s="1508">
        <v>4</v>
      </c>
      <c r="AA340" s="1407" t="s">
        <v>45</v>
      </c>
      <c r="AB340" s="1508">
        <v>8</v>
      </c>
      <c r="AC340" s="1407" t="s">
        <v>10</v>
      </c>
      <c r="AD340" s="1508">
        <v>3</v>
      </c>
      <c r="AE340" s="1407" t="s">
        <v>13</v>
      </c>
      <c r="AF340" s="1407" t="s">
        <v>24</v>
      </c>
      <c r="AG340" s="1407">
        <f>IF(X340&gt;=1,(AB340*12+AD340)-(X340*12+Z340)+1,"")</f>
        <v>12</v>
      </c>
      <c r="AH340" s="1409" t="s">
        <v>38</v>
      </c>
      <c r="AI340" s="1496" t="str">
        <f>IFERROR(ROUNDDOWN(ROUND(L338*V340,0)*M338,0)*AG340,"")</f>
        <v/>
      </c>
      <c r="AJ340" s="1510" t="str">
        <f>IFERROR(ROUNDDOWN(ROUND((L338*(V340-AX338)),0)*M338,0)*AG340,"")</f>
        <v/>
      </c>
      <c r="AK340" s="1494">
        <f>IFERROR(IF(OR(N338="",N339="",N341=""),0,ROUNDDOWN(ROUNDDOWN(ROUND(L338*VLOOKUP(K338,【参考】数式用!$A$5:$AB$27,MATCH("新加算Ⅳ",【参考】数式用!$B$4:$AB$4,0)+1,0),0)*M338,0)*AG340*0.5,0)),"")</f>
        <v>0</v>
      </c>
      <c r="AL340" s="1435" t="str">
        <f t="shared" ref="AL340" si="338">IF(U340&lt;&gt;"","新規に適用","")</f>
        <v/>
      </c>
      <c r="AM340" s="1498">
        <f>IFERROR(IF(OR(N341="ベア加算",N341=""),0, IF(OR(U338="新加算Ⅰ",U338="新加算Ⅱ",U338="新加算Ⅲ",U338="新加算Ⅳ"),0,ROUNDDOWN(ROUND(L338*VLOOKUP(K338,【参考】数式用!$A$5:$I$27,MATCH("ベア加算",【参考】数式用!$B$4:$I$4,0)+1,0),0)*M338,0)*AG340)),"")</f>
        <v>0</v>
      </c>
      <c r="AN340" s="1356" t="str">
        <f t="shared" ref="AN340" si="339">IF(AM340=0,"",IF(AND(U340&lt;&gt;"",AN338=""),"新規に適用",IF(AND(U340&lt;&gt;"",AN338&lt;&gt;""),"継続で適用","")))</f>
        <v/>
      </c>
      <c r="AO340" s="1356" t="str">
        <f>IF(AND(U340&lt;&gt;"",AO338=""),"新規に適用",IF(AND(U340&lt;&gt;"",AO338&lt;&gt;""),"継続で適用",""))</f>
        <v/>
      </c>
      <c r="AP340" s="1358"/>
      <c r="AQ340" s="1356" t="str">
        <f>IF(AND(U340&lt;&gt;"",AQ338=""),"新規に適用",IF(AND(U340&lt;&gt;"",AQ338&lt;&gt;""),"継続で適用",""))</f>
        <v/>
      </c>
      <c r="AR340" s="1344" t="str">
        <f t="shared" si="293"/>
        <v/>
      </c>
      <c r="AS340" s="1356" t="str">
        <f>IF(AND(U340&lt;&gt;"",AS338=""),"新規に適用",IF(AND(U340&lt;&gt;"",AS338&lt;&gt;""),"継続で適用",""))</f>
        <v/>
      </c>
      <c r="AT340" s="1331"/>
      <c r="AU340" s="651"/>
      <c r="AV340" s="1493" t="str">
        <f>IF(K338&lt;&gt;"","V列に色付け","")</f>
        <v/>
      </c>
      <c r="AW340" s="1518"/>
      <c r="AX340" s="1507"/>
      <c r="AY340" s="163"/>
      <c r="AZ340" s="163"/>
      <c r="BA340" s="163"/>
      <c r="BB340" s="163"/>
      <c r="BC340" s="163"/>
      <c r="BD340" s="163"/>
      <c r="BE340" s="163"/>
      <c r="BF340" s="163"/>
      <c r="BG340" s="163"/>
      <c r="BH340" s="163"/>
      <c r="BI340" s="163"/>
      <c r="BJ340" s="163"/>
      <c r="BK340" s="163"/>
      <c r="BL340" s="543" t="str">
        <f>G338</f>
        <v/>
      </c>
    </row>
    <row r="341" spans="1:64" ht="30" customHeight="1" thickBot="1">
      <c r="A341" s="1227"/>
      <c r="B341" s="1376"/>
      <c r="C341" s="1377"/>
      <c r="D341" s="1377"/>
      <c r="E341" s="1377"/>
      <c r="F341" s="1378"/>
      <c r="G341" s="1267"/>
      <c r="H341" s="1267"/>
      <c r="I341" s="1267"/>
      <c r="J341" s="1373"/>
      <c r="K341" s="1267"/>
      <c r="L341" s="1248"/>
      <c r="M341" s="1375"/>
      <c r="N341" s="650" t="str">
        <f>IF('別紙様式2-2（４・５月分）'!Q259="","",'別紙様式2-2（４・５月分）'!Q259)</f>
        <v/>
      </c>
      <c r="O341" s="1369"/>
      <c r="P341" s="1391"/>
      <c r="Q341" s="1387"/>
      <c r="R341" s="1389"/>
      <c r="S341" s="1395"/>
      <c r="T341" s="1460"/>
      <c r="U341" s="1462"/>
      <c r="V341" s="1464"/>
      <c r="W341" s="1466"/>
      <c r="X341" s="1509"/>
      <c r="Y341" s="1408"/>
      <c r="Z341" s="1509"/>
      <c r="AA341" s="1408"/>
      <c r="AB341" s="1509"/>
      <c r="AC341" s="1408"/>
      <c r="AD341" s="1509"/>
      <c r="AE341" s="1408"/>
      <c r="AF341" s="1408"/>
      <c r="AG341" s="1408"/>
      <c r="AH341" s="1410"/>
      <c r="AI341" s="1497"/>
      <c r="AJ341" s="1511"/>
      <c r="AK341" s="1495"/>
      <c r="AL341" s="1436"/>
      <c r="AM341" s="1499"/>
      <c r="AN341" s="1357"/>
      <c r="AO341" s="1357"/>
      <c r="AP341" s="1359"/>
      <c r="AQ341" s="1357"/>
      <c r="AR341" s="1345"/>
      <c r="AS341" s="1357"/>
      <c r="AT341" s="581" t="str">
        <f t="shared" ref="AT341" si="340">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51"/>
      <c r="AV341" s="1493"/>
      <c r="AW341" s="652" t="str">
        <f>IF('別紙様式2-2（４・５月分）'!O259="","",'別紙様式2-2（４・５月分）'!O259)</f>
        <v/>
      </c>
      <c r="AX341" s="1507"/>
      <c r="AY341" s="163"/>
      <c r="AZ341" s="163"/>
      <c r="BA341" s="163"/>
      <c r="BB341" s="163"/>
      <c r="BC341" s="163"/>
      <c r="BD341" s="163"/>
      <c r="BE341" s="163"/>
      <c r="BF341" s="163"/>
      <c r="BG341" s="163"/>
      <c r="BH341" s="163"/>
      <c r="BI341" s="163"/>
      <c r="BJ341" s="163"/>
      <c r="BK341" s="163"/>
      <c r="BL341" s="543" t="str">
        <f>G338</f>
        <v/>
      </c>
    </row>
    <row r="342" spans="1:64" ht="30" customHeight="1">
      <c r="A342" s="1225">
        <v>83</v>
      </c>
      <c r="B342" s="1271" t="str">
        <f>IF(基本情報入力シート!C136="","",基本情報入力シート!C136)</f>
        <v/>
      </c>
      <c r="C342" s="1259"/>
      <c r="D342" s="1259"/>
      <c r="E342" s="1259"/>
      <c r="F342" s="1260"/>
      <c r="G342" s="1265" t="str">
        <f>IF(基本情報入力シート!M136="","",基本情報入力シート!M136)</f>
        <v/>
      </c>
      <c r="H342" s="1265" t="str">
        <f>IF(基本情報入力シート!R136="","",基本情報入力シート!R136)</f>
        <v/>
      </c>
      <c r="I342" s="1265" t="str">
        <f>IF(基本情報入力シート!W136="","",基本情報入力シート!W136)</f>
        <v/>
      </c>
      <c r="J342" s="1379" t="str">
        <f>IF(基本情報入力シート!X136="","",基本情報入力シート!X136)</f>
        <v/>
      </c>
      <c r="K342" s="1265" t="str">
        <f>IF(基本情報入力シート!Y136="","",基本情報入力シート!Y136)</f>
        <v/>
      </c>
      <c r="L342" s="1246" t="str">
        <f>IF(基本情報入力シート!AB136="","",基本情報入力シート!AB136)</f>
        <v/>
      </c>
      <c r="M342" s="1249" t="str">
        <f>IF(基本情報入力シート!AC136="","",基本情報入力シート!AC136)</f>
        <v/>
      </c>
      <c r="N342" s="647" t="str">
        <f>IF('別紙様式2-2（４・５月分）'!Q260="","",'別紙様式2-2（４・５月分）'!Q260)</f>
        <v/>
      </c>
      <c r="O342" s="1366" t="str">
        <f>IF(SUM('別紙様式2-2（４・５月分）'!R260:R262)=0,"",SUM('別紙様式2-2（４・５月分）'!R260:R262))</f>
        <v/>
      </c>
      <c r="P342" s="1380" t="str">
        <f>IFERROR(VLOOKUP('別紙様式2-2（４・５月分）'!AR260,【参考】数式用!$AT$5:$AU$22,2,FALSE),"")</f>
        <v/>
      </c>
      <c r="Q342" s="1381"/>
      <c r="R342" s="1382"/>
      <c r="S342" s="1392" t="str">
        <f>IFERROR(VLOOKUP(K342,【参考】数式用!$A$5:$AB$27,MATCH(P342,【参考】数式用!$B$4:$AB$4,0)+1,0),"")</f>
        <v/>
      </c>
      <c r="T342" s="1413" t="s">
        <v>2173</v>
      </c>
      <c r="U342" s="1415"/>
      <c r="V342" s="1457" t="str">
        <f>IFERROR(VLOOKUP(K342,【参考】数式用!$A$5:$AB$27,MATCH(U342,【参考】数式用!$B$4:$AB$4,0)+1,0),"")</f>
        <v/>
      </c>
      <c r="W342" s="1350" t="s">
        <v>19</v>
      </c>
      <c r="X342" s="1352">
        <v>6</v>
      </c>
      <c r="Y342" s="1354" t="s">
        <v>10</v>
      </c>
      <c r="Z342" s="1352">
        <v>6</v>
      </c>
      <c r="AA342" s="1354" t="s">
        <v>45</v>
      </c>
      <c r="AB342" s="1352">
        <v>7</v>
      </c>
      <c r="AC342" s="1354" t="s">
        <v>10</v>
      </c>
      <c r="AD342" s="1352">
        <v>3</v>
      </c>
      <c r="AE342" s="1354" t="s">
        <v>13</v>
      </c>
      <c r="AF342" s="1354" t="s">
        <v>24</v>
      </c>
      <c r="AG342" s="1354">
        <f>IF(X342&gt;=1,(AB342*12+AD342)-(X342*12+Z342)+1,"")</f>
        <v>10</v>
      </c>
      <c r="AH342" s="1360" t="s">
        <v>38</v>
      </c>
      <c r="AI342" s="1481" t="str">
        <f>IFERROR(ROUNDDOWN(ROUND(L342*V342,0)*M342,0)*AG342,"")</f>
        <v/>
      </c>
      <c r="AJ342" s="1483" t="str">
        <f>IFERROR(ROUNDDOWN(ROUND((L342*(V342-AX342)),0)*M342,0)*AG342,"")</f>
        <v/>
      </c>
      <c r="AK342" s="1485">
        <f>IFERROR(IF(OR(N342="",N343="",N345=""),0,ROUNDDOWN(ROUNDDOWN(ROUND(L342*VLOOKUP(K342,【参考】数式用!$A$5:$AB$27,MATCH("新加算Ⅳ",【参考】数式用!$B$4:$AB$4,0)+1,0),0)*M342,0)*AG342*0.5,0)),"")</f>
        <v>0</v>
      </c>
      <c r="AL342" s="1433"/>
      <c r="AM342" s="1487">
        <f>IFERROR(IF(OR(N345="ベア加算",N345=""),0, IF(OR(U342="新加算Ⅰ",U342="新加算Ⅱ",U342="新加算Ⅲ",U342="新加算Ⅳ"),ROUNDDOWN(ROUND(L342*VLOOKUP(K342,【参考】数式用!$A$5:$I$27,MATCH("ベア加算",【参考】数式用!$B$4:$I$4,0)+1,0),0)*M342,0)*AG342,0)),"")</f>
        <v>0</v>
      </c>
      <c r="AN342" s="1502"/>
      <c r="AO342" s="1364"/>
      <c r="AP342" s="1403"/>
      <c r="AQ342" s="1403"/>
      <c r="AR342" s="1489"/>
      <c r="AS342" s="1491"/>
      <c r="AT342" s="556" t="str">
        <f t="shared" si="335"/>
        <v/>
      </c>
      <c r="AU342" s="651"/>
      <c r="AV342" s="1493" t="str">
        <f>IF(K342&lt;&gt;"","V列に色付け","")</f>
        <v/>
      </c>
      <c r="AW342" s="652" t="str">
        <f>IF('別紙様式2-2（４・５月分）'!O260="","",'別紙様式2-2（４・５月分）'!O260)</f>
        <v/>
      </c>
      <c r="AX342" s="1507" t="str">
        <f>IF(SUM('別紙様式2-2（４・５月分）'!P260:P262)=0,"",SUM('別紙様式2-2（４・５月分）'!P260:P262))</f>
        <v/>
      </c>
      <c r="AY342" s="1506" t="str">
        <f>IFERROR(VLOOKUP(K342,【参考】数式用!$AJ$2:$AK$24,2,FALSE),"")</f>
        <v/>
      </c>
      <c r="AZ342" s="1321" t="s">
        <v>2098</v>
      </c>
      <c r="BA342" s="1321" t="s">
        <v>2099</v>
      </c>
      <c r="BB342" s="1321" t="s">
        <v>2100</v>
      </c>
      <c r="BC342" s="1321" t="s">
        <v>2101</v>
      </c>
      <c r="BD342" s="1321" t="str">
        <f>IF(AND(P342&lt;&gt;"新加算Ⅰ",P342&lt;&gt;"新加算Ⅱ",P342&lt;&gt;"新加算Ⅲ",P342&lt;&gt;"新加算Ⅳ"),P342,IF(Q344&lt;&gt;"",Q344,""))</f>
        <v/>
      </c>
      <c r="BE342" s="1321"/>
      <c r="BF342" s="1321" t="str">
        <f t="shared" ref="BF342" si="341">IF(AM342&lt;&gt;0,IF(AN342="○","入力済","未入力"),"")</f>
        <v/>
      </c>
      <c r="BG342" s="1321"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321" t="str">
        <f>IF(OR(U342="新加算Ⅴ（７）",U342="新加算Ⅴ（９）",U342="新加算Ⅴ（10）",U342="新加算Ⅴ（12）",U342="新加算Ⅴ（13）",U342="新加算Ⅴ（14）"),IF(OR(AP342="○",AP342="令和６年度中に満たす"),"入力済","未入力"),"")</f>
        <v/>
      </c>
      <c r="BI342" s="1321" t="str">
        <f>IF(OR(U342="新加算Ⅰ",U342="新加算Ⅱ",U342="新加算Ⅲ",U342="新加算Ⅴ（１）",U342="新加算Ⅴ（３）",U342="新加算Ⅴ（８）"),IF(OR(AQ342="○",AQ342="令和６年度中に満たす"),"入力済","未入力"),"")</f>
        <v/>
      </c>
      <c r="BJ342" s="1512"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493" t="str">
        <f>IF(OR(U342="新加算Ⅰ",U342="新加算Ⅴ（１）",U342="新加算Ⅴ（２）",U342="新加算Ⅴ（５）",U342="新加算Ⅴ（７）",U342="新加算Ⅴ（10）"),IF(AS342="","未入力","入力済"),"")</f>
        <v/>
      </c>
      <c r="BL342" s="543" t="str">
        <f>G342</f>
        <v/>
      </c>
    </row>
    <row r="343" spans="1:64" ht="15" customHeight="1">
      <c r="A343" s="1226"/>
      <c r="B343" s="1272"/>
      <c r="C343" s="1261"/>
      <c r="D343" s="1261"/>
      <c r="E343" s="1261"/>
      <c r="F343" s="1262"/>
      <c r="G343" s="1266"/>
      <c r="H343" s="1266"/>
      <c r="I343" s="1266"/>
      <c r="J343" s="1372"/>
      <c r="K343" s="1266"/>
      <c r="L343" s="1247"/>
      <c r="M343" s="1250"/>
      <c r="N343" s="1370" t="str">
        <f>IF('別紙様式2-2（４・５月分）'!Q261="","",'別紙様式2-2（４・５月分）'!Q261)</f>
        <v/>
      </c>
      <c r="O343" s="1367"/>
      <c r="P343" s="1383"/>
      <c r="Q343" s="1384"/>
      <c r="R343" s="1385"/>
      <c r="S343" s="1393"/>
      <c r="T343" s="1414"/>
      <c r="U343" s="1416"/>
      <c r="V343" s="1458"/>
      <c r="W343" s="1351"/>
      <c r="X343" s="1353"/>
      <c r="Y343" s="1355"/>
      <c r="Z343" s="1353"/>
      <c r="AA343" s="1355"/>
      <c r="AB343" s="1353"/>
      <c r="AC343" s="1355"/>
      <c r="AD343" s="1353"/>
      <c r="AE343" s="1355"/>
      <c r="AF343" s="1355"/>
      <c r="AG343" s="1355"/>
      <c r="AH343" s="1361"/>
      <c r="AI343" s="1482"/>
      <c r="AJ343" s="1484"/>
      <c r="AK343" s="1486"/>
      <c r="AL343" s="1434"/>
      <c r="AM343" s="1488"/>
      <c r="AN343" s="1503"/>
      <c r="AO343" s="1365"/>
      <c r="AP343" s="1404"/>
      <c r="AQ343" s="1404"/>
      <c r="AR343" s="1490"/>
      <c r="AS343" s="1492"/>
      <c r="AT343" s="1331" t="str">
        <f t="shared" si="337"/>
        <v/>
      </c>
      <c r="AU343" s="651"/>
      <c r="AV343" s="1493"/>
      <c r="AW343" s="1518" t="str">
        <f>IF('別紙様式2-2（４・５月分）'!O261="","",'別紙様式2-2（４・５月分）'!O261)</f>
        <v/>
      </c>
      <c r="AX343" s="1507"/>
      <c r="AY343" s="1506"/>
      <c r="AZ343" s="1321"/>
      <c r="BA343" s="1321"/>
      <c r="BB343" s="1321"/>
      <c r="BC343" s="1321"/>
      <c r="BD343" s="1321"/>
      <c r="BE343" s="1321"/>
      <c r="BF343" s="1321"/>
      <c r="BG343" s="1321"/>
      <c r="BH343" s="1321"/>
      <c r="BI343" s="1321"/>
      <c r="BJ343" s="1512"/>
      <c r="BK343" s="1493"/>
      <c r="BL343" s="543" t="str">
        <f>G342</f>
        <v/>
      </c>
    </row>
    <row r="344" spans="1:64" ht="15" customHeight="1">
      <c r="A344" s="1240"/>
      <c r="B344" s="1272"/>
      <c r="C344" s="1261"/>
      <c r="D344" s="1261"/>
      <c r="E344" s="1261"/>
      <c r="F344" s="1262"/>
      <c r="G344" s="1266"/>
      <c r="H344" s="1266"/>
      <c r="I344" s="1266"/>
      <c r="J344" s="1372"/>
      <c r="K344" s="1266"/>
      <c r="L344" s="1247"/>
      <c r="M344" s="1250"/>
      <c r="N344" s="1371"/>
      <c r="O344" s="1368"/>
      <c r="P344" s="1390" t="s">
        <v>2179</v>
      </c>
      <c r="Q344" s="1386" t="str">
        <f>IFERROR(VLOOKUP('別紙様式2-2（４・５月分）'!AR260,【参考】数式用!$AT$5:$AV$22,3,FALSE),"")</f>
        <v/>
      </c>
      <c r="R344" s="1388" t="s">
        <v>2190</v>
      </c>
      <c r="S344" s="1396" t="str">
        <f>IFERROR(VLOOKUP(K342,【参考】数式用!$A$5:$AB$27,MATCH(Q344,【参考】数式用!$B$4:$AB$4,0)+1,0),"")</f>
        <v/>
      </c>
      <c r="T344" s="1459" t="s">
        <v>217</v>
      </c>
      <c r="U344" s="1461"/>
      <c r="V344" s="1463" t="str">
        <f>IFERROR(VLOOKUP(K342,【参考】数式用!$A$5:$AB$27,MATCH(U344,【参考】数式用!$B$4:$AB$4,0)+1,0),"")</f>
        <v/>
      </c>
      <c r="W344" s="1465" t="s">
        <v>19</v>
      </c>
      <c r="X344" s="1508">
        <v>7</v>
      </c>
      <c r="Y344" s="1407" t="s">
        <v>10</v>
      </c>
      <c r="Z344" s="1508">
        <v>4</v>
      </c>
      <c r="AA344" s="1407" t="s">
        <v>45</v>
      </c>
      <c r="AB344" s="1508">
        <v>8</v>
      </c>
      <c r="AC344" s="1407" t="s">
        <v>10</v>
      </c>
      <c r="AD344" s="1508">
        <v>3</v>
      </c>
      <c r="AE344" s="1407" t="s">
        <v>13</v>
      </c>
      <c r="AF344" s="1407" t="s">
        <v>24</v>
      </c>
      <c r="AG344" s="1407">
        <f>IF(X344&gt;=1,(AB344*12+AD344)-(X344*12+Z344)+1,"")</f>
        <v>12</v>
      </c>
      <c r="AH344" s="1409" t="s">
        <v>38</v>
      </c>
      <c r="AI344" s="1496" t="str">
        <f>IFERROR(ROUNDDOWN(ROUND(L342*V344,0)*M342,0)*AG344,"")</f>
        <v/>
      </c>
      <c r="AJ344" s="1510" t="str">
        <f>IFERROR(ROUNDDOWN(ROUND((L342*(V344-AX342)),0)*M342,0)*AG344,"")</f>
        <v/>
      </c>
      <c r="AK344" s="1494">
        <f>IFERROR(IF(OR(N342="",N343="",N345=""),0,ROUNDDOWN(ROUNDDOWN(ROUND(L342*VLOOKUP(K342,【参考】数式用!$A$5:$AB$27,MATCH("新加算Ⅳ",【参考】数式用!$B$4:$AB$4,0)+1,0),0)*M342,0)*AG344*0.5,0)),"")</f>
        <v>0</v>
      </c>
      <c r="AL344" s="1435" t="str">
        <f t="shared" ref="AL344" si="342">IF(U344&lt;&gt;"","新規に適用","")</f>
        <v/>
      </c>
      <c r="AM344" s="1498">
        <f>IFERROR(IF(OR(N345="ベア加算",N345=""),0, IF(OR(U342="新加算Ⅰ",U342="新加算Ⅱ",U342="新加算Ⅲ",U342="新加算Ⅳ"),0,ROUNDDOWN(ROUND(L342*VLOOKUP(K342,【参考】数式用!$A$5:$I$27,MATCH("ベア加算",【参考】数式用!$B$4:$I$4,0)+1,0),0)*M342,0)*AG344)),"")</f>
        <v>0</v>
      </c>
      <c r="AN344" s="1356" t="str">
        <f t="shared" ref="AN344" si="343">IF(AM344=0,"",IF(AND(U344&lt;&gt;"",AN342=""),"新規に適用",IF(AND(U344&lt;&gt;"",AN342&lt;&gt;""),"継続で適用","")))</f>
        <v/>
      </c>
      <c r="AO344" s="1356" t="str">
        <f>IF(AND(U344&lt;&gt;"",AO342=""),"新規に適用",IF(AND(U344&lt;&gt;"",AO342&lt;&gt;""),"継続で適用",""))</f>
        <v/>
      </c>
      <c r="AP344" s="1358"/>
      <c r="AQ344" s="1356" t="str">
        <f>IF(AND(U344&lt;&gt;"",AQ342=""),"新規に適用",IF(AND(U344&lt;&gt;"",AQ342&lt;&gt;""),"継続で適用",""))</f>
        <v/>
      </c>
      <c r="AR344" s="1344" t="str">
        <f t="shared" si="293"/>
        <v/>
      </c>
      <c r="AS344" s="1356" t="str">
        <f>IF(AND(U344&lt;&gt;"",AS342=""),"新規に適用",IF(AND(U344&lt;&gt;"",AS342&lt;&gt;""),"継続で適用",""))</f>
        <v/>
      </c>
      <c r="AT344" s="1331"/>
      <c r="AU344" s="651"/>
      <c r="AV344" s="1493" t="str">
        <f>IF(K342&lt;&gt;"","V列に色付け","")</f>
        <v/>
      </c>
      <c r="AW344" s="1518"/>
      <c r="AX344" s="1507"/>
      <c r="AY344" s="163"/>
      <c r="AZ344" s="163"/>
      <c r="BA344" s="163"/>
      <c r="BB344" s="163"/>
      <c r="BC344" s="163"/>
      <c r="BD344" s="163"/>
      <c r="BE344" s="163"/>
      <c r="BF344" s="163"/>
      <c r="BG344" s="163"/>
      <c r="BH344" s="163"/>
      <c r="BI344" s="163"/>
      <c r="BJ344" s="163"/>
      <c r="BK344" s="163"/>
      <c r="BL344" s="543" t="str">
        <f>G342</f>
        <v/>
      </c>
    </row>
    <row r="345" spans="1:64" ht="30" customHeight="1" thickBot="1">
      <c r="A345" s="1227"/>
      <c r="B345" s="1376"/>
      <c r="C345" s="1377"/>
      <c r="D345" s="1377"/>
      <c r="E345" s="1377"/>
      <c r="F345" s="1378"/>
      <c r="G345" s="1267"/>
      <c r="H345" s="1267"/>
      <c r="I345" s="1267"/>
      <c r="J345" s="1373"/>
      <c r="K345" s="1267"/>
      <c r="L345" s="1248"/>
      <c r="M345" s="1251"/>
      <c r="N345" s="650" t="str">
        <f>IF('別紙様式2-2（４・５月分）'!Q262="","",'別紙様式2-2（４・５月分）'!Q262)</f>
        <v/>
      </c>
      <c r="O345" s="1369"/>
      <c r="P345" s="1391"/>
      <c r="Q345" s="1387"/>
      <c r="R345" s="1389"/>
      <c r="S345" s="1395"/>
      <c r="T345" s="1460"/>
      <c r="U345" s="1462"/>
      <c r="V345" s="1464"/>
      <c r="W345" s="1466"/>
      <c r="X345" s="1509"/>
      <c r="Y345" s="1408"/>
      <c r="Z345" s="1509"/>
      <c r="AA345" s="1408"/>
      <c r="AB345" s="1509"/>
      <c r="AC345" s="1408"/>
      <c r="AD345" s="1509"/>
      <c r="AE345" s="1408"/>
      <c r="AF345" s="1408"/>
      <c r="AG345" s="1408"/>
      <c r="AH345" s="1410"/>
      <c r="AI345" s="1497"/>
      <c r="AJ345" s="1511"/>
      <c r="AK345" s="1495"/>
      <c r="AL345" s="1436"/>
      <c r="AM345" s="1499"/>
      <c r="AN345" s="1357"/>
      <c r="AO345" s="1357"/>
      <c r="AP345" s="1359"/>
      <c r="AQ345" s="1357"/>
      <c r="AR345" s="1345"/>
      <c r="AS345" s="1357"/>
      <c r="AT345" s="581" t="str">
        <f t="shared" ref="AT345" si="344">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51"/>
      <c r="AV345" s="1493"/>
      <c r="AW345" s="652" t="str">
        <f>IF('別紙様式2-2（４・５月分）'!O262="","",'別紙様式2-2（４・５月分）'!O262)</f>
        <v/>
      </c>
      <c r="AX345" s="1507"/>
      <c r="AY345" s="163"/>
      <c r="AZ345" s="163"/>
      <c r="BA345" s="163"/>
      <c r="BB345" s="163"/>
      <c r="BC345" s="163"/>
      <c r="BD345" s="163"/>
      <c r="BE345" s="163"/>
      <c r="BF345" s="163"/>
      <c r="BG345" s="163"/>
      <c r="BH345" s="163"/>
      <c r="BI345" s="163"/>
      <c r="BJ345" s="163"/>
      <c r="BK345" s="163"/>
      <c r="BL345" s="543" t="str">
        <f>G342</f>
        <v/>
      </c>
    </row>
    <row r="346" spans="1:64" ht="30" customHeight="1">
      <c r="A346" s="1241">
        <v>84</v>
      </c>
      <c r="B346" s="1272" t="str">
        <f>IF(基本情報入力シート!C137="","",基本情報入力シート!C137)</f>
        <v/>
      </c>
      <c r="C346" s="1261"/>
      <c r="D346" s="1261"/>
      <c r="E346" s="1261"/>
      <c r="F346" s="1262"/>
      <c r="G346" s="1266" t="str">
        <f>IF(基本情報入力シート!M137="","",基本情報入力シート!M137)</f>
        <v/>
      </c>
      <c r="H346" s="1266" t="str">
        <f>IF(基本情報入力シート!R137="","",基本情報入力シート!R137)</f>
        <v/>
      </c>
      <c r="I346" s="1266" t="str">
        <f>IF(基本情報入力シート!W137="","",基本情報入力シート!W137)</f>
        <v/>
      </c>
      <c r="J346" s="1372" t="str">
        <f>IF(基本情報入力シート!X137="","",基本情報入力シート!X137)</f>
        <v/>
      </c>
      <c r="K346" s="1266" t="str">
        <f>IF(基本情報入力シート!Y137="","",基本情報入力シート!Y137)</f>
        <v/>
      </c>
      <c r="L346" s="1247" t="str">
        <f>IF(基本情報入力シート!AB137="","",基本情報入力シート!AB137)</f>
        <v/>
      </c>
      <c r="M346" s="1374" t="str">
        <f>IF(基本情報入力シート!AC137="","",基本情報入力シート!AC137)</f>
        <v/>
      </c>
      <c r="N346" s="647" t="str">
        <f>IF('別紙様式2-2（４・５月分）'!Q263="","",'別紙様式2-2（４・５月分）'!Q263)</f>
        <v/>
      </c>
      <c r="O346" s="1366" t="str">
        <f>IF(SUM('別紙様式2-2（４・５月分）'!R263:R265)=0,"",SUM('別紙様式2-2（４・５月分）'!R263:R265))</f>
        <v/>
      </c>
      <c r="P346" s="1380" t="str">
        <f>IFERROR(VLOOKUP('別紙様式2-2（４・５月分）'!AR263,【参考】数式用!$AT$5:$AU$22,2,FALSE),"")</f>
        <v/>
      </c>
      <c r="Q346" s="1381"/>
      <c r="R346" s="1382"/>
      <c r="S346" s="1392" t="str">
        <f>IFERROR(VLOOKUP(K346,【参考】数式用!$A$5:$AB$27,MATCH(P346,【参考】数式用!$B$4:$AB$4,0)+1,0),"")</f>
        <v/>
      </c>
      <c r="T346" s="1413" t="s">
        <v>2173</v>
      </c>
      <c r="U346" s="1415"/>
      <c r="V346" s="1457" t="str">
        <f>IFERROR(VLOOKUP(K346,【参考】数式用!$A$5:$AB$27,MATCH(U346,【参考】数式用!$B$4:$AB$4,0)+1,0),"")</f>
        <v/>
      </c>
      <c r="W346" s="1350" t="s">
        <v>19</v>
      </c>
      <c r="X346" s="1352">
        <v>6</v>
      </c>
      <c r="Y346" s="1354" t="s">
        <v>10</v>
      </c>
      <c r="Z346" s="1352">
        <v>6</v>
      </c>
      <c r="AA346" s="1354" t="s">
        <v>45</v>
      </c>
      <c r="AB346" s="1352">
        <v>7</v>
      </c>
      <c r="AC346" s="1354" t="s">
        <v>10</v>
      </c>
      <c r="AD346" s="1352">
        <v>3</v>
      </c>
      <c r="AE346" s="1354" t="s">
        <v>13</v>
      </c>
      <c r="AF346" s="1354" t="s">
        <v>24</v>
      </c>
      <c r="AG346" s="1354">
        <f>IF(X346&gt;=1,(AB346*12+AD346)-(X346*12+Z346)+1,"")</f>
        <v>10</v>
      </c>
      <c r="AH346" s="1360" t="s">
        <v>38</v>
      </c>
      <c r="AI346" s="1481" t="str">
        <f>IFERROR(ROUNDDOWN(ROUND(L346*V346,0)*M346,0)*AG346,"")</f>
        <v/>
      </c>
      <c r="AJ346" s="1483" t="str">
        <f>IFERROR(ROUNDDOWN(ROUND((L346*(V346-AX346)),0)*M346,0)*AG346,"")</f>
        <v/>
      </c>
      <c r="AK346" s="1485">
        <f>IFERROR(IF(OR(N346="",N347="",N349=""),0,ROUNDDOWN(ROUNDDOWN(ROUND(L346*VLOOKUP(K346,【参考】数式用!$A$5:$AB$27,MATCH("新加算Ⅳ",【参考】数式用!$B$4:$AB$4,0)+1,0),0)*M346,0)*AG346*0.5,0)),"")</f>
        <v>0</v>
      </c>
      <c r="AL346" s="1433"/>
      <c r="AM346" s="1487">
        <f>IFERROR(IF(OR(N349="ベア加算",N349=""),0, IF(OR(U346="新加算Ⅰ",U346="新加算Ⅱ",U346="新加算Ⅲ",U346="新加算Ⅳ"),ROUNDDOWN(ROUND(L346*VLOOKUP(K346,【参考】数式用!$A$5:$I$27,MATCH("ベア加算",【参考】数式用!$B$4:$I$4,0)+1,0),0)*M346,0)*AG346,0)),"")</f>
        <v>0</v>
      </c>
      <c r="AN346" s="1502"/>
      <c r="AO346" s="1364"/>
      <c r="AP346" s="1403"/>
      <c r="AQ346" s="1403"/>
      <c r="AR346" s="1489"/>
      <c r="AS346" s="1491"/>
      <c r="AT346" s="556" t="str">
        <f t="shared" si="335"/>
        <v/>
      </c>
      <c r="AU346" s="651"/>
      <c r="AV346" s="1493" t="str">
        <f>IF(K346&lt;&gt;"","V列に色付け","")</f>
        <v/>
      </c>
      <c r="AW346" s="652" t="str">
        <f>IF('別紙様式2-2（４・５月分）'!O263="","",'別紙様式2-2（４・５月分）'!O263)</f>
        <v/>
      </c>
      <c r="AX346" s="1507" t="str">
        <f>IF(SUM('別紙様式2-2（４・５月分）'!P263:P265)=0,"",SUM('別紙様式2-2（４・５月分）'!P263:P265))</f>
        <v/>
      </c>
      <c r="AY346" s="1506" t="str">
        <f>IFERROR(VLOOKUP(K346,【参考】数式用!$AJ$2:$AK$24,2,FALSE),"")</f>
        <v/>
      </c>
      <c r="AZ346" s="1321" t="s">
        <v>2098</v>
      </c>
      <c r="BA346" s="1321" t="s">
        <v>2099</v>
      </c>
      <c r="BB346" s="1321" t="s">
        <v>2100</v>
      </c>
      <c r="BC346" s="1321" t="s">
        <v>2101</v>
      </c>
      <c r="BD346" s="1321" t="str">
        <f>IF(AND(P346&lt;&gt;"新加算Ⅰ",P346&lt;&gt;"新加算Ⅱ",P346&lt;&gt;"新加算Ⅲ",P346&lt;&gt;"新加算Ⅳ"),P346,IF(Q348&lt;&gt;"",Q348,""))</f>
        <v/>
      </c>
      <c r="BE346" s="1321"/>
      <c r="BF346" s="1321" t="str">
        <f t="shared" ref="BF346" si="345">IF(AM346&lt;&gt;0,IF(AN346="○","入力済","未入力"),"")</f>
        <v/>
      </c>
      <c r="BG346" s="1321"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321" t="str">
        <f>IF(OR(U346="新加算Ⅴ（７）",U346="新加算Ⅴ（９）",U346="新加算Ⅴ（10）",U346="新加算Ⅴ（12）",U346="新加算Ⅴ（13）",U346="新加算Ⅴ（14）"),IF(OR(AP346="○",AP346="令和６年度中に満たす"),"入力済","未入力"),"")</f>
        <v/>
      </c>
      <c r="BI346" s="1321" t="str">
        <f>IF(OR(U346="新加算Ⅰ",U346="新加算Ⅱ",U346="新加算Ⅲ",U346="新加算Ⅴ（１）",U346="新加算Ⅴ（３）",U346="新加算Ⅴ（８）"),IF(OR(AQ346="○",AQ346="令和６年度中に満たす"),"入力済","未入力"),"")</f>
        <v/>
      </c>
      <c r="BJ346" s="1512"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493" t="str">
        <f>IF(OR(U346="新加算Ⅰ",U346="新加算Ⅴ（１）",U346="新加算Ⅴ（２）",U346="新加算Ⅴ（５）",U346="新加算Ⅴ（７）",U346="新加算Ⅴ（10）"),IF(AS346="","未入力","入力済"),"")</f>
        <v/>
      </c>
      <c r="BL346" s="543" t="str">
        <f>G346</f>
        <v/>
      </c>
    </row>
    <row r="347" spans="1:64" ht="15" customHeight="1">
      <c r="A347" s="1226"/>
      <c r="B347" s="1272"/>
      <c r="C347" s="1261"/>
      <c r="D347" s="1261"/>
      <c r="E347" s="1261"/>
      <c r="F347" s="1262"/>
      <c r="G347" s="1266"/>
      <c r="H347" s="1266"/>
      <c r="I347" s="1266"/>
      <c r="J347" s="1372"/>
      <c r="K347" s="1266"/>
      <c r="L347" s="1247"/>
      <c r="M347" s="1374"/>
      <c r="N347" s="1370" t="str">
        <f>IF('別紙様式2-2（４・５月分）'!Q264="","",'別紙様式2-2（４・５月分）'!Q264)</f>
        <v/>
      </c>
      <c r="O347" s="1367"/>
      <c r="P347" s="1383"/>
      <c r="Q347" s="1384"/>
      <c r="R347" s="1385"/>
      <c r="S347" s="1393"/>
      <c r="T347" s="1414"/>
      <c r="U347" s="1416"/>
      <c r="V347" s="1458"/>
      <c r="W347" s="1351"/>
      <c r="X347" s="1353"/>
      <c r="Y347" s="1355"/>
      <c r="Z347" s="1353"/>
      <c r="AA347" s="1355"/>
      <c r="AB347" s="1353"/>
      <c r="AC347" s="1355"/>
      <c r="AD347" s="1353"/>
      <c r="AE347" s="1355"/>
      <c r="AF347" s="1355"/>
      <c r="AG347" s="1355"/>
      <c r="AH347" s="1361"/>
      <c r="AI347" s="1482"/>
      <c r="AJ347" s="1484"/>
      <c r="AK347" s="1486"/>
      <c r="AL347" s="1434"/>
      <c r="AM347" s="1488"/>
      <c r="AN347" s="1503"/>
      <c r="AO347" s="1365"/>
      <c r="AP347" s="1404"/>
      <c r="AQ347" s="1404"/>
      <c r="AR347" s="1490"/>
      <c r="AS347" s="1492"/>
      <c r="AT347" s="1331" t="str">
        <f t="shared" si="337"/>
        <v/>
      </c>
      <c r="AU347" s="651"/>
      <c r="AV347" s="1493"/>
      <c r="AW347" s="1518" t="str">
        <f>IF('別紙様式2-2（４・５月分）'!O264="","",'別紙様式2-2（４・５月分）'!O264)</f>
        <v/>
      </c>
      <c r="AX347" s="1507"/>
      <c r="AY347" s="1506"/>
      <c r="AZ347" s="1321"/>
      <c r="BA347" s="1321"/>
      <c r="BB347" s="1321"/>
      <c r="BC347" s="1321"/>
      <c r="BD347" s="1321"/>
      <c r="BE347" s="1321"/>
      <c r="BF347" s="1321"/>
      <c r="BG347" s="1321"/>
      <c r="BH347" s="1321"/>
      <c r="BI347" s="1321"/>
      <c r="BJ347" s="1512"/>
      <c r="BK347" s="1493"/>
      <c r="BL347" s="543" t="str">
        <f>G346</f>
        <v/>
      </c>
    </row>
    <row r="348" spans="1:64" ht="15" customHeight="1">
      <c r="A348" s="1240"/>
      <c r="B348" s="1272"/>
      <c r="C348" s="1261"/>
      <c r="D348" s="1261"/>
      <c r="E348" s="1261"/>
      <c r="F348" s="1262"/>
      <c r="G348" s="1266"/>
      <c r="H348" s="1266"/>
      <c r="I348" s="1266"/>
      <c r="J348" s="1372"/>
      <c r="K348" s="1266"/>
      <c r="L348" s="1247"/>
      <c r="M348" s="1374"/>
      <c r="N348" s="1371"/>
      <c r="O348" s="1368"/>
      <c r="P348" s="1390" t="s">
        <v>2179</v>
      </c>
      <c r="Q348" s="1386" t="str">
        <f>IFERROR(VLOOKUP('別紙様式2-2（４・５月分）'!AR263,【参考】数式用!$AT$5:$AV$22,3,FALSE),"")</f>
        <v/>
      </c>
      <c r="R348" s="1388" t="s">
        <v>2190</v>
      </c>
      <c r="S348" s="1394" t="str">
        <f>IFERROR(VLOOKUP(K346,【参考】数式用!$A$5:$AB$27,MATCH(Q348,【参考】数式用!$B$4:$AB$4,0)+1,0),"")</f>
        <v/>
      </c>
      <c r="T348" s="1459" t="s">
        <v>217</v>
      </c>
      <c r="U348" s="1461"/>
      <c r="V348" s="1463" t="str">
        <f>IFERROR(VLOOKUP(K346,【参考】数式用!$A$5:$AB$27,MATCH(U348,【参考】数式用!$B$4:$AB$4,0)+1,0),"")</f>
        <v/>
      </c>
      <c r="W348" s="1465" t="s">
        <v>19</v>
      </c>
      <c r="X348" s="1508">
        <v>7</v>
      </c>
      <c r="Y348" s="1407" t="s">
        <v>10</v>
      </c>
      <c r="Z348" s="1508">
        <v>4</v>
      </c>
      <c r="AA348" s="1407" t="s">
        <v>45</v>
      </c>
      <c r="AB348" s="1508">
        <v>8</v>
      </c>
      <c r="AC348" s="1407" t="s">
        <v>10</v>
      </c>
      <c r="AD348" s="1508">
        <v>3</v>
      </c>
      <c r="AE348" s="1407" t="s">
        <v>13</v>
      </c>
      <c r="AF348" s="1407" t="s">
        <v>24</v>
      </c>
      <c r="AG348" s="1407">
        <f>IF(X348&gt;=1,(AB348*12+AD348)-(X348*12+Z348)+1,"")</f>
        <v>12</v>
      </c>
      <c r="AH348" s="1409" t="s">
        <v>38</v>
      </c>
      <c r="AI348" s="1496" t="str">
        <f>IFERROR(ROUNDDOWN(ROUND(L346*V348,0)*M346,0)*AG348,"")</f>
        <v/>
      </c>
      <c r="AJ348" s="1510" t="str">
        <f>IFERROR(ROUNDDOWN(ROUND((L346*(V348-AX346)),0)*M346,0)*AG348,"")</f>
        <v/>
      </c>
      <c r="AK348" s="1494">
        <f>IFERROR(IF(OR(N346="",N347="",N349=""),0,ROUNDDOWN(ROUNDDOWN(ROUND(L346*VLOOKUP(K346,【参考】数式用!$A$5:$AB$27,MATCH("新加算Ⅳ",【参考】数式用!$B$4:$AB$4,0)+1,0),0)*M346,0)*AG348*0.5,0)),"")</f>
        <v>0</v>
      </c>
      <c r="AL348" s="1435" t="str">
        <f t="shared" ref="AL348" si="346">IF(U348&lt;&gt;"","新規に適用","")</f>
        <v/>
      </c>
      <c r="AM348" s="1498">
        <f>IFERROR(IF(OR(N349="ベア加算",N349=""),0, IF(OR(U346="新加算Ⅰ",U346="新加算Ⅱ",U346="新加算Ⅲ",U346="新加算Ⅳ"),0,ROUNDDOWN(ROUND(L346*VLOOKUP(K346,【参考】数式用!$A$5:$I$27,MATCH("ベア加算",【参考】数式用!$B$4:$I$4,0)+1,0),0)*M346,0)*AG348)),"")</f>
        <v>0</v>
      </c>
      <c r="AN348" s="1356" t="str">
        <f t="shared" ref="AN348" si="347">IF(AM348=0,"",IF(AND(U348&lt;&gt;"",AN346=""),"新規に適用",IF(AND(U348&lt;&gt;"",AN346&lt;&gt;""),"継続で適用","")))</f>
        <v/>
      </c>
      <c r="AO348" s="1356" t="str">
        <f>IF(AND(U348&lt;&gt;"",AO346=""),"新規に適用",IF(AND(U348&lt;&gt;"",AO346&lt;&gt;""),"継続で適用",""))</f>
        <v/>
      </c>
      <c r="AP348" s="1358"/>
      <c r="AQ348" s="1356" t="str">
        <f>IF(AND(U348&lt;&gt;"",AQ346=""),"新規に適用",IF(AND(U348&lt;&gt;"",AQ346&lt;&gt;""),"継続で適用",""))</f>
        <v/>
      </c>
      <c r="AR348" s="1344" t="str">
        <f t="shared" si="293"/>
        <v/>
      </c>
      <c r="AS348" s="1356" t="str">
        <f>IF(AND(U348&lt;&gt;"",AS346=""),"新規に適用",IF(AND(U348&lt;&gt;"",AS346&lt;&gt;""),"継続で適用",""))</f>
        <v/>
      </c>
      <c r="AT348" s="1331"/>
      <c r="AU348" s="651"/>
      <c r="AV348" s="1493" t="str">
        <f>IF(K346&lt;&gt;"","V列に色付け","")</f>
        <v/>
      </c>
      <c r="AW348" s="1518"/>
      <c r="AX348" s="1507"/>
      <c r="AY348" s="163"/>
      <c r="AZ348" s="163"/>
      <c r="BA348" s="163"/>
      <c r="BB348" s="163"/>
      <c r="BC348" s="163"/>
      <c r="BD348" s="163"/>
      <c r="BE348" s="163"/>
      <c r="BF348" s="163"/>
      <c r="BG348" s="163"/>
      <c r="BH348" s="163"/>
      <c r="BI348" s="163"/>
      <c r="BJ348" s="163"/>
      <c r="BK348" s="163"/>
      <c r="BL348" s="543" t="str">
        <f>G346</f>
        <v/>
      </c>
    </row>
    <row r="349" spans="1:64" ht="30" customHeight="1" thickBot="1">
      <c r="A349" s="1227"/>
      <c r="B349" s="1376"/>
      <c r="C349" s="1377"/>
      <c r="D349" s="1377"/>
      <c r="E349" s="1377"/>
      <c r="F349" s="1378"/>
      <c r="G349" s="1267"/>
      <c r="H349" s="1267"/>
      <c r="I349" s="1267"/>
      <c r="J349" s="1373"/>
      <c r="K349" s="1267"/>
      <c r="L349" s="1248"/>
      <c r="M349" s="1375"/>
      <c r="N349" s="650" t="str">
        <f>IF('別紙様式2-2（４・５月分）'!Q265="","",'別紙様式2-2（４・５月分）'!Q265)</f>
        <v/>
      </c>
      <c r="O349" s="1369"/>
      <c r="P349" s="1391"/>
      <c r="Q349" s="1387"/>
      <c r="R349" s="1389"/>
      <c r="S349" s="1395"/>
      <c r="T349" s="1460"/>
      <c r="U349" s="1462"/>
      <c r="V349" s="1464"/>
      <c r="W349" s="1466"/>
      <c r="X349" s="1509"/>
      <c r="Y349" s="1408"/>
      <c r="Z349" s="1509"/>
      <c r="AA349" s="1408"/>
      <c r="AB349" s="1509"/>
      <c r="AC349" s="1408"/>
      <c r="AD349" s="1509"/>
      <c r="AE349" s="1408"/>
      <c r="AF349" s="1408"/>
      <c r="AG349" s="1408"/>
      <c r="AH349" s="1410"/>
      <c r="AI349" s="1497"/>
      <c r="AJ349" s="1511"/>
      <c r="AK349" s="1495"/>
      <c r="AL349" s="1436"/>
      <c r="AM349" s="1499"/>
      <c r="AN349" s="1357"/>
      <c r="AO349" s="1357"/>
      <c r="AP349" s="1359"/>
      <c r="AQ349" s="1357"/>
      <c r="AR349" s="1345"/>
      <c r="AS349" s="1357"/>
      <c r="AT349" s="581" t="str">
        <f t="shared" ref="AT349" si="348">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51"/>
      <c r="AV349" s="1493"/>
      <c r="AW349" s="652" t="str">
        <f>IF('別紙様式2-2（４・５月分）'!O265="","",'別紙様式2-2（４・５月分）'!O265)</f>
        <v/>
      </c>
      <c r="AX349" s="1507"/>
      <c r="AY349" s="163"/>
      <c r="AZ349" s="163"/>
      <c r="BA349" s="163"/>
      <c r="BB349" s="163"/>
      <c r="BC349" s="163"/>
      <c r="BD349" s="163"/>
      <c r="BE349" s="163"/>
      <c r="BF349" s="163"/>
      <c r="BG349" s="163"/>
      <c r="BH349" s="163"/>
      <c r="BI349" s="163"/>
      <c r="BJ349" s="163"/>
      <c r="BK349" s="163"/>
      <c r="BL349" s="543" t="str">
        <f>G346</f>
        <v/>
      </c>
    </row>
    <row r="350" spans="1:64" ht="30" customHeight="1">
      <c r="A350" s="1225">
        <v>85</v>
      </c>
      <c r="B350" s="1271" t="str">
        <f>IF(基本情報入力シート!C138="","",基本情報入力シート!C138)</f>
        <v/>
      </c>
      <c r="C350" s="1259"/>
      <c r="D350" s="1259"/>
      <c r="E350" s="1259"/>
      <c r="F350" s="1260"/>
      <c r="G350" s="1265" t="str">
        <f>IF(基本情報入力シート!M138="","",基本情報入力シート!M138)</f>
        <v/>
      </c>
      <c r="H350" s="1265" t="str">
        <f>IF(基本情報入力シート!R138="","",基本情報入力シート!R138)</f>
        <v/>
      </c>
      <c r="I350" s="1265" t="str">
        <f>IF(基本情報入力シート!W138="","",基本情報入力シート!W138)</f>
        <v/>
      </c>
      <c r="J350" s="1379" t="str">
        <f>IF(基本情報入力シート!X138="","",基本情報入力シート!X138)</f>
        <v/>
      </c>
      <c r="K350" s="1265" t="str">
        <f>IF(基本情報入力シート!Y138="","",基本情報入力シート!Y138)</f>
        <v/>
      </c>
      <c r="L350" s="1246" t="str">
        <f>IF(基本情報入力シート!AB138="","",基本情報入力シート!AB138)</f>
        <v/>
      </c>
      <c r="M350" s="1249" t="str">
        <f>IF(基本情報入力シート!AC138="","",基本情報入力シート!AC138)</f>
        <v/>
      </c>
      <c r="N350" s="647" t="str">
        <f>IF('別紙様式2-2（４・５月分）'!Q266="","",'別紙様式2-2（４・５月分）'!Q266)</f>
        <v/>
      </c>
      <c r="O350" s="1366" t="str">
        <f>IF(SUM('別紙様式2-2（４・５月分）'!R266:R268)=0,"",SUM('別紙様式2-2（４・５月分）'!R266:R268))</f>
        <v/>
      </c>
      <c r="P350" s="1380" t="str">
        <f>IFERROR(VLOOKUP('別紙様式2-2（４・５月分）'!AR266,【参考】数式用!$AT$5:$AU$22,2,FALSE),"")</f>
        <v/>
      </c>
      <c r="Q350" s="1381"/>
      <c r="R350" s="1382"/>
      <c r="S350" s="1392" t="str">
        <f>IFERROR(VLOOKUP(K350,【参考】数式用!$A$5:$AB$27,MATCH(P350,【参考】数式用!$B$4:$AB$4,0)+1,0),"")</f>
        <v/>
      </c>
      <c r="T350" s="1413" t="s">
        <v>2173</v>
      </c>
      <c r="U350" s="1415"/>
      <c r="V350" s="1457" t="str">
        <f>IFERROR(VLOOKUP(K350,【参考】数式用!$A$5:$AB$27,MATCH(U350,【参考】数式用!$B$4:$AB$4,0)+1,0),"")</f>
        <v/>
      </c>
      <c r="W350" s="1350" t="s">
        <v>19</v>
      </c>
      <c r="X350" s="1352">
        <v>6</v>
      </c>
      <c r="Y350" s="1354" t="s">
        <v>10</v>
      </c>
      <c r="Z350" s="1352">
        <v>6</v>
      </c>
      <c r="AA350" s="1354" t="s">
        <v>45</v>
      </c>
      <c r="AB350" s="1352">
        <v>7</v>
      </c>
      <c r="AC350" s="1354" t="s">
        <v>10</v>
      </c>
      <c r="AD350" s="1352">
        <v>3</v>
      </c>
      <c r="AE350" s="1354" t="s">
        <v>13</v>
      </c>
      <c r="AF350" s="1354" t="s">
        <v>24</v>
      </c>
      <c r="AG350" s="1354">
        <f>IF(X350&gt;=1,(AB350*12+AD350)-(X350*12+Z350)+1,"")</f>
        <v>10</v>
      </c>
      <c r="AH350" s="1360" t="s">
        <v>38</v>
      </c>
      <c r="AI350" s="1481" t="str">
        <f>IFERROR(ROUNDDOWN(ROUND(L350*V350,0)*M350,0)*AG350,"")</f>
        <v/>
      </c>
      <c r="AJ350" s="1483" t="str">
        <f>IFERROR(ROUNDDOWN(ROUND((L350*(V350-AX350)),0)*M350,0)*AG350,"")</f>
        <v/>
      </c>
      <c r="AK350" s="1485">
        <f>IFERROR(IF(OR(N350="",N351="",N353=""),0,ROUNDDOWN(ROUNDDOWN(ROUND(L350*VLOOKUP(K350,【参考】数式用!$A$5:$AB$27,MATCH("新加算Ⅳ",【参考】数式用!$B$4:$AB$4,0)+1,0),0)*M350,0)*AG350*0.5,0)),"")</f>
        <v>0</v>
      </c>
      <c r="AL350" s="1433"/>
      <c r="AM350" s="1487">
        <f>IFERROR(IF(OR(N353="ベア加算",N353=""),0, IF(OR(U350="新加算Ⅰ",U350="新加算Ⅱ",U350="新加算Ⅲ",U350="新加算Ⅳ"),ROUNDDOWN(ROUND(L350*VLOOKUP(K350,【参考】数式用!$A$5:$I$27,MATCH("ベア加算",【参考】数式用!$B$4:$I$4,0)+1,0),0)*M350,0)*AG350,0)),"")</f>
        <v>0</v>
      </c>
      <c r="AN350" s="1502"/>
      <c r="AO350" s="1364"/>
      <c r="AP350" s="1403"/>
      <c r="AQ350" s="1403"/>
      <c r="AR350" s="1489"/>
      <c r="AS350" s="1491"/>
      <c r="AT350" s="556" t="str">
        <f t="shared" si="335"/>
        <v/>
      </c>
      <c r="AU350" s="651"/>
      <c r="AV350" s="1493" t="str">
        <f>IF(K350&lt;&gt;"","V列に色付け","")</f>
        <v/>
      </c>
      <c r="AW350" s="652" t="str">
        <f>IF('別紙様式2-2（４・５月分）'!O266="","",'別紙様式2-2（４・５月分）'!O266)</f>
        <v/>
      </c>
      <c r="AX350" s="1507" t="str">
        <f>IF(SUM('別紙様式2-2（４・５月分）'!P266:P268)=0,"",SUM('別紙様式2-2（４・５月分）'!P266:P268))</f>
        <v/>
      </c>
      <c r="AY350" s="1506" t="str">
        <f>IFERROR(VLOOKUP(K350,【参考】数式用!$AJ$2:$AK$24,2,FALSE),"")</f>
        <v/>
      </c>
      <c r="AZ350" s="1321" t="s">
        <v>2098</v>
      </c>
      <c r="BA350" s="1321" t="s">
        <v>2099</v>
      </c>
      <c r="BB350" s="1321" t="s">
        <v>2100</v>
      </c>
      <c r="BC350" s="1321" t="s">
        <v>2101</v>
      </c>
      <c r="BD350" s="1321" t="str">
        <f>IF(AND(P350&lt;&gt;"新加算Ⅰ",P350&lt;&gt;"新加算Ⅱ",P350&lt;&gt;"新加算Ⅲ",P350&lt;&gt;"新加算Ⅳ"),P350,IF(Q352&lt;&gt;"",Q352,""))</f>
        <v/>
      </c>
      <c r="BE350" s="1321"/>
      <c r="BF350" s="1321" t="str">
        <f t="shared" ref="BF350" si="349">IF(AM350&lt;&gt;0,IF(AN350="○","入力済","未入力"),"")</f>
        <v/>
      </c>
      <c r="BG350" s="1321"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321" t="str">
        <f>IF(OR(U350="新加算Ⅴ（７）",U350="新加算Ⅴ（９）",U350="新加算Ⅴ（10）",U350="新加算Ⅴ（12）",U350="新加算Ⅴ（13）",U350="新加算Ⅴ（14）"),IF(OR(AP350="○",AP350="令和６年度中に満たす"),"入力済","未入力"),"")</f>
        <v/>
      </c>
      <c r="BI350" s="1321" t="str">
        <f>IF(OR(U350="新加算Ⅰ",U350="新加算Ⅱ",U350="新加算Ⅲ",U350="新加算Ⅴ（１）",U350="新加算Ⅴ（３）",U350="新加算Ⅴ（８）"),IF(OR(AQ350="○",AQ350="令和６年度中に満たす"),"入力済","未入力"),"")</f>
        <v/>
      </c>
      <c r="BJ350" s="1512"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493" t="str">
        <f>IF(OR(U350="新加算Ⅰ",U350="新加算Ⅴ（１）",U350="新加算Ⅴ（２）",U350="新加算Ⅴ（５）",U350="新加算Ⅴ（７）",U350="新加算Ⅴ（10）"),IF(AS350="","未入力","入力済"),"")</f>
        <v/>
      </c>
      <c r="BL350" s="543" t="str">
        <f>G350</f>
        <v/>
      </c>
    </row>
    <row r="351" spans="1:64" ht="15" customHeight="1">
      <c r="A351" s="1226"/>
      <c r="B351" s="1272"/>
      <c r="C351" s="1261"/>
      <c r="D351" s="1261"/>
      <c r="E351" s="1261"/>
      <c r="F351" s="1262"/>
      <c r="G351" s="1266"/>
      <c r="H351" s="1266"/>
      <c r="I351" s="1266"/>
      <c r="J351" s="1372"/>
      <c r="K351" s="1266"/>
      <c r="L351" s="1247"/>
      <c r="M351" s="1250"/>
      <c r="N351" s="1370" t="str">
        <f>IF('別紙様式2-2（４・５月分）'!Q267="","",'別紙様式2-2（４・５月分）'!Q267)</f>
        <v/>
      </c>
      <c r="O351" s="1367"/>
      <c r="P351" s="1383"/>
      <c r="Q351" s="1384"/>
      <c r="R351" s="1385"/>
      <c r="S351" s="1393"/>
      <c r="T351" s="1414"/>
      <c r="U351" s="1416"/>
      <c r="V351" s="1458"/>
      <c r="W351" s="1351"/>
      <c r="X351" s="1353"/>
      <c r="Y351" s="1355"/>
      <c r="Z351" s="1353"/>
      <c r="AA351" s="1355"/>
      <c r="AB351" s="1353"/>
      <c r="AC351" s="1355"/>
      <c r="AD351" s="1353"/>
      <c r="AE351" s="1355"/>
      <c r="AF351" s="1355"/>
      <c r="AG351" s="1355"/>
      <c r="AH351" s="1361"/>
      <c r="AI351" s="1482"/>
      <c r="AJ351" s="1484"/>
      <c r="AK351" s="1486"/>
      <c r="AL351" s="1434"/>
      <c r="AM351" s="1488"/>
      <c r="AN351" s="1503"/>
      <c r="AO351" s="1365"/>
      <c r="AP351" s="1404"/>
      <c r="AQ351" s="1404"/>
      <c r="AR351" s="1490"/>
      <c r="AS351" s="1492"/>
      <c r="AT351" s="1331" t="str">
        <f t="shared" si="337"/>
        <v/>
      </c>
      <c r="AU351" s="651"/>
      <c r="AV351" s="1493"/>
      <c r="AW351" s="1518" t="str">
        <f>IF('別紙様式2-2（４・５月分）'!O267="","",'別紙様式2-2（４・５月分）'!O267)</f>
        <v/>
      </c>
      <c r="AX351" s="1507"/>
      <c r="AY351" s="1506"/>
      <c r="AZ351" s="1321"/>
      <c r="BA351" s="1321"/>
      <c r="BB351" s="1321"/>
      <c r="BC351" s="1321"/>
      <c r="BD351" s="1321"/>
      <c r="BE351" s="1321"/>
      <c r="BF351" s="1321"/>
      <c r="BG351" s="1321"/>
      <c r="BH351" s="1321"/>
      <c r="BI351" s="1321"/>
      <c r="BJ351" s="1512"/>
      <c r="BK351" s="1493"/>
      <c r="BL351" s="543" t="str">
        <f>G350</f>
        <v/>
      </c>
    </row>
    <row r="352" spans="1:64" ht="15" customHeight="1">
      <c r="A352" s="1240"/>
      <c r="B352" s="1272"/>
      <c r="C352" s="1261"/>
      <c r="D352" s="1261"/>
      <c r="E352" s="1261"/>
      <c r="F352" s="1262"/>
      <c r="G352" s="1266"/>
      <c r="H352" s="1266"/>
      <c r="I352" s="1266"/>
      <c r="J352" s="1372"/>
      <c r="K352" s="1266"/>
      <c r="L352" s="1247"/>
      <c r="M352" s="1250"/>
      <c r="N352" s="1371"/>
      <c r="O352" s="1368"/>
      <c r="P352" s="1390" t="s">
        <v>2179</v>
      </c>
      <c r="Q352" s="1386" t="str">
        <f>IFERROR(VLOOKUP('別紙様式2-2（４・５月分）'!AR266,【参考】数式用!$AT$5:$AV$22,3,FALSE),"")</f>
        <v/>
      </c>
      <c r="R352" s="1388" t="s">
        <v>2190</v>
      </c>
      <c r="S352" s="1396" t="str">
        <f>IFERROR(VLOOKUP(K350,【参考】数式用!$A$5:$AB$27,MATCH(Q352,【参考】数式用!$B$4:$AB$4,0)+1,0),"")</f>
        <v/>
      </c>
      <c r="T352" s="1459" t="s">
        <v>217</v>
      </c>
      <c r="U352" s="1461"/>
      <c r="V352" s="1463" t="str">
        <f>IFERROR(VLOOKUP(K350,【参考】数式用!$A$5:$AB$27,MATCH(U352,【参考】数式用!$B$4:$AB$4,0)+1,0),"")</f>
        <v/>
      </c>
      <c r="W352" s="1465" t="s">
        <v>19</v>
      </c>
      <c r="X352" s="1508">
        <v>7</v>
      </c>
      <c r="Y352" s="1407" t="s">
        <v>10</v>
      </c>
      <c r="Z352" s="1508">
        <v>4</v>
      </c>
      <c r="AA352" s="1407" t="s">
        <v>45</v>
      </c>
      <c r="AB352" s="1508">
        <v>8</v>
      </c>
      <c r="AC352" s="1407" t="s">
        <v>10</v>
      </c>
      <c r="AD352" s="1508">
        <v>3</v>
      </c>
      <c r="AE352" s="1407" t="s">
        <v>13</v>
      </c>
      <c r="AF352" s="1407" t="s">
        <v>24</v>
      </c>
      <c r="AG352" s="1407">
        <f>IF(X352&gt;=1,(AB352*12+AD352)-(X352*12+Z352)+1,"")</f>
        <v>12</v>
      </c>
      <c r="AH352" s="1409" t="s">
        <v>38</v>
      </c>
      <c r="AI352" s="1496" t="str">
        <f>IFERROR(ROUNDDOWN(ROUND(L350*V352,0)*M350,0)*AG352,"")</f>
        <v/>
      </c>
      <c r="AJ352" s="1510" t="str">
        <f>IFERROR(ROUNDDOWN(ROUND((L350*(V352-AX350)),0)*M350,0)*AG352,"")</f>
        <v/>
      </c>
      <c r="AK352" s="1494">
        <f>IFERROR(IF(OR(N350="",N351="",N353=""),0,ROUNDDOWN(ROUNDDOWN(ROUND(L350*VLOOKUP(K350,【参考】数式用!$A$5:$AB$27,MATCH("新加算Ⅳ",【参考】数式用!$B$4:$AB$4,0)+1,0),0)*M350,0)*AG352*0.5,0)),"")</f>
        <v>0</v>
      </c>
      <c r="AL352" s="1435" t="str">
        <f t="shared" ref="AL352" si="350">IF(U352&lt;&gt;"","新規に適用","")</f>
        <v/>
      </c>
      <c r="AM352" s="1498">
        <f>IFERROR(IF(OR(N353="ベア加算",N353=""),0, IF(OR(U350="新加算Ⅰ",U350="新加算Ⅱ",U350="新加算Ⅲ",U350="新加算Ⅳ"),0,ROUNDDOWN(ROUND(L350*VLOOKUP(K350,【参考】数式用!$A$5:$I$27,MATCH("ベア加算",【参考】数式用!$B$4:$I$4,0)+1,0),0)*M350,0)*AG352)),"")</f>
        <v>0</v>
      </c>
      <c r="AN352" s="1356" t="str">
        <f t="shared" ref="AN352" si="351">IF(AM352=0,"",IF(AND(U352&lt;&gt;"",AN350=""),"新規に適用",IF(AND(U352&lt;&gt;"",AN350&lt;&gt;""),"継続で適用","")))</f>
        <v/>
      </c>
      <c r="AO352" s="1356" t="str">
        <f>IF(AND(U352&lt;&gt;"",AO350=""),"新規に適用",IF(AND(U352&lt;&gt;"",AO350&lt;&gt;""),"継続で適用",""))</f>
        <v/>
      </c>
      <c r="AP352" s="1358"/>
      <c r="AQ352" s="1356" t="str">
        <f>IF(AND(U352&lt;&gt;"",AQ350=""),"新規に適用",IF(AND(U352&lt;&gt;"",AQ350&lt;&gt;""),"継続で適用",""))</f>
        <v/>
      </c>
      <c r="AR352" s="1344" t="str">
        <f t="shared" si="293"/>
        <v/>
      </c>
      <c r="AS352" s="1356" t="str">
        <f>IF(AND(U352&lt;&gt;"",AS350=""),"新規に適用",IF(AND(U352&lt;&gt;"",AS350&lt;&gt;""),"継続で適用",""))</f>
        <v/>
      </c>
      <c r="AT352" s="1331"/>
      <c r="AU352" s="651"/>
      <c r="AV352" s="1493" t="str">
        <f>IF(K350&lt;&gt;"","V列に色付け","")</f>
        <v/>
      </c>
      <c r="AW352" s="1518"/>
      <c r="AX352" s="1507"/>
      <c r="AY352" s="163"/>
      <c r="AZ352" s="163"/>
      <c r="BA352" s="163"/>
      <c r="BB352" s="163"/>
      <c r="BC352" s="163"/>
      <c r="BD352" s="163"/>
      <c r="BE352" s="163"/>
      <c r="BF352" s="163"/>
      <c r="BG352" s="163"/>
      <c r="BH352" s="163"/>
      <c r="BI352" s="163"/>
      <c r="BJ352" s="163"/>
      <c r="BK352" s="163"/>
      <c r="BL352" s="543" t="str">
        <f>G350</f>
        <v/>
      </c>
    </row>
    <row r="353" spans="1:64" ht="30" customHeight="1" thickBot="1">
      <c r="A353" s="1227"/>
      <c r="B353" s="1376"/>
      <c r="C353" s="1377"/>
      <c r="D353" s="1377"/>
      <c r="E353" s="1377"/>
      <c r="F353" s="1378"/>
      <c r="G353" s="1267"/>
      <c r="H353" s="1267"/>
      <c r="I353" s="1267"/>
      <c r="J353" s="1373"/>
      <c r="K353" s="1267"/>
      <c r="L353" s="1248"/>
      <c r="M353" s="1251"/>
      <c r="N353" s="650" t="str">
        <f>IF('別紙様式2-2（４・５月分）'!Q268="","",'別紙様式2-2（４・５月分）'!Q268)</f>
        <v/>
      </c>
      <c r="O353" s="1369"/>
      <c r="P353" s="1391"/>
      <c r="Q353" s="1387"/>
      <c r="R353" s="1389"/>
      <c r="S353" s="1395"/>
      <c r="T353" s="1460"/>
      <c r="U353" s="1462"/>
      <c r="V353" s="1464"/>
      <c r="W353" s="1466"/>
      <c r="X353" s="1509"/>
      <c r="Y353" s="1408"/>
      <c r="Z353" s="1509"/>
      <c r="AA353" s="1408"/>
      <c r="AB353" s="1509"/>
      <c r="AC353" s="1408"/>
      <c r="AD353" s="1509"/>
      <c r="AE353" s="1408"/>
      <c r="AF353" s="1408"/>
      <c r="AG353" s="1408"/>
      <c r="AH353" s="1410"/>
      <c r="AI353" s="1497"/>
      <c r="AJ353" s="1511"/>
      <c r="AK353" s="1495"/>
      <c r="AL353" s="1436"/>
      <c r="AM353" s="1499"/>
      <c r="AN353" s="1357"/>
      <c r="AO353" s="1357"/>
      <c r="AP353" s="1359"/>
      <c r="AQ353" s="1357"/>
      <c r="AR353" s="1345"/>
      <c r="AS353" s="1357"/>
      <c r="AT353" s="581" t="str">
        <f t="shared" ref="AT353" si="352">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51"/>
      <c r="AV353" s="1493"/>
      <c r="AW353" s="652" t="str">
        <f>IF('別紙様式2-2（４・５月分）'!O268="","",'別紙様式2-2（４・５月分）'!O268)</f>
        <v/>
      </c>
      <c r="AX353" s="1507"/>
      <c r="AY353" s="163"/>
      <c r="AZ353" s="163"/>
      <c r="BA353" s="163"/>
      <c r="BB353" s="163"/>
      <c r="BC353" s="163"/>
      <c r="BD353" s="163"/>
      <c r="BE353" s="163"/>
      <c r="BF353" s="163"/>
      <c r="BG353" s="163"/>
      <c r="BH353" s="163"/>
      <c r="BI353" s="163"/>
      <c r="BJ353" s="163"/>
      <c r="BK353" s="163"/>
      <c r="BL353" s="543" t="str">
        <f>G350</f>
        <v/>
      </c>
    </row>
    <row r="354" spans="1:64" ht="30" customHeight="1">
      <c r="A354" s="1241">
        <v>86</v>
      </c>
      <c r="B354" s="1272" t="str">
        <f>IF(基本情報入力シート!C139="","",基本情報入力シート!C139)</f>
        <v/>
      </c>
      <c r="C354" s="1261"/>
      <c r="D354" s="1261"/>
      <c r="E354" s="1261"/>
      <c r="F354" s="1262"/>
      <c r="G354" s="1266" t="str">
        <f>IF(基本情報入力シート!M139="","",基本情報入力シート!M139)</f>
        <v/>
      </c>
      <c r="H354" s="1266" t="str">
        <f>IF(基本情報入力シート!R139="","",基本情報入力シート!R139)</f>
        <v/>
      </c>
      <c r="I354" s="1266" t="str">
        <f>IF(基本情報入力シート!W139="","",基本情報入力シート!W139)</f>
        <v/>
      </c>
      <c r="J354" s="1372" t="str">
        <f>IF(基本情報入力シート!X139="","",基本情報入力シート!X139)</f>
        <v/>
      </c>
      <c r="K354" s="1266" t="str">
        <f>IF(基本情報入力シート!Y139="","",基本情報入力シート!Y139)</f>
        <v/>
      </c>
      <c r="L354" s="1247" t="str">
        <f>IF(基本情報入力シート!AB139="","",基本情報入力シート!AB139)</f>
        <v/>
      </c>
      <c r="M354" s="1374" t="str">
        <f>IF(基本情報入力シート!AC139="","",基本情報入力シート!AC139)</f>
        <v/>
      </c>
      <c r="N354" s="647" t="str">
        <f>IF('別紙様式2-2（４・５月分）'!Q269="","",'別紙様式2-2（４・５月分）'!Q269)</f>
        <v/>
      </c>
      <c r="O354" s="1366" t="str">
        <f>IF(SUM('別紙様式2-2（４・５月分）'!R269:R271)=0,"",SUM('別紙様式2-2（４・５月分）'!R269:R271))</f>
        <v/>
      </c>
      <c r="P354" s="1380" t="str">
        <f>IFERROR(VLOOKUP('別紙様式2-2（４・５月分）'!AR269,【参考】数式用!$AT$5:$AU$22,2,FALSE),"")</f>
        <v/>
      </c>
      <c r="Q354" s="1381"/>
      <c r="R354" s="1382"/>
      <c r="S354" s="1392" t="str">
        <f>IFERROR(VLOOKUP(K354,【参考】数式用!$A$5:$AB$27,MATCH(P354,【参考】数式用!$B$4:$AB$4,0)+1,0),"")</f>
        <v/>
      </c>
      <c r="T354" s="1413" t="s">
        <v>2173</v>
      </c>
      <c r="U354" s="1415"/>
      <c r="V354" s="1457" t="str">
        <f>IFERROR(VLOOKUP(K354,【参考】数式用!$A$5:$AB$27,MATCH(U354,【参考】数式用!$B$4:$AB$4,0)+1,0),"")</f>
        <v/>
      </c>
      <c r="W354" s="1350" t="s">
        <v>19</v>
      </c>
      <c r="X354" s="1352">
        <v>6</v>
      </c>
      <c r="Y354" s="1354" t="s">
        <v>10</v>
      </c>
      <c r="Z354" s="1352">
        <v>6</v>
      </c>
      <c r="AA354" s="1354" t="s">
        <v>45</v>
      </c>
      <c r="AB354" s="1352">
        <v>7</v>
      </c>
      <c r="AC354" s="1354" t="s">
        <v>10</v>
      </c>
      <c r="AD354" s="1352">
        <v>3</v>
      </c>
      <c r="AE354" s="1354" t="s">
        <v>13</v>
      </c>
      <c r="AF354" s="1354" t="s">
        <v>24</v>
      </c>
      <c r="AG354" s="1354">
        <f>IF(X354&gt;=1,(AB354*12+AD354)-(X354*12+Z354)+1,"")</f>
        <v>10</v>
      </c>
      <c r="AH354" s="1360" t="s">
        <v>38</v>
      </c>
      <c r="AI354" s="1481" t="str">
        <f>IFERROR(ROUNDDOWN(ROUND(L354*V354,0)*M354,0)*AG354,"")</f>
        <v/>
      </c>
      <c r="AJ354" s="1483" t="str">
        <f>IFERROR(ROUNDDOWN(ROUND((L354*(V354-AX354)),0)*M354,0)*AG354,"")</f>
        <v/>
      </c>
      <c r="AK354" s="1485">
        <f>IFERROR(IF(OR(N354="",N355="",N357=""),0,ROUNDDOWN(ROUNDDOWN(ROUND(L354*VLOOKUP(K354,【参考】数式用!$A$5:$AB$27,MATCH("新加算Ⅳ",【参考】数式用!$B$4:$AB$4,0)+1,0),0)*M354,0)*AG354*0.5,0)),"")</f>
        <v>0</v>
      </c>
      <c r="AL354" s="1433"/>
      <c r="AM354" s="1487">
        <f>IFERROR(IF(OR(N357="ベア加算",N357=""),0, IF(OR(U354="新加算Ⅰ",U354="新加算Ⅱ",U354="新加算Ⅲ",U354="新加算Ⅳ"),ROUNDDOWN(ROUND(L354*VLOOKUP(K354,【参考】数式用!$A$5:$I$27,MATCH("ベア加算",【参考】数式用!$B$4:$I$4,0)+1,0),0)*M354,0)*AG354,0)),"")</f>
        <v>0</v>
      </c>
      <c r="AN354" s="1502"/>
      <c r="AO354" s="1364"/>
      <c r="AP354" s="1403"/>
      <c r="AQ354" s="1403"/>
      <c r="AR354" s="1489"/>
      <c r="AS354" s="1491"/>
      <c r="AT354" s="556" t="str">
        <f t="shared" si="335"/>
        <v/>
      </c>
      <c r="AU354" s="651"/>
      <c r="AV354" s="1493" t="str">
        <f>IF(K354&lt;&gt;"","V列に色付け","")</f>
        <v/>
      </c>
      <c r="AW354" s="652" t="str">
        <f>IF('別紙様式2-2（４・５月分）'!O269="","",'別紙様式2-2（４・５月分）'!O269)</f>
        <v/>
      </c>
      <c r="AX354" s="1507" t="str">
        <f>IF(SUM('別紙様式2-2（４・５月分）'!P269:P271)=0,"",SUM('別紙様式2-2（４・５月分）'!P269:P271))</f>
        <v/>
      </c>
      <c r="AY354" s="1506" t="str">
        <f>IFERROR(VLOOKUP(K354,【参考】数式用!$AJ$2:$AK$24,2,FALSE),"")</f>
        <v/>
      </c>
      <c r="AZ354" s="1321" t="s">
        <v>2098</v>
      </c>
      <c r="BA354" s="1321" t="s">
        <v>2099</v>
      </c>
      <c r="BB354" s="1321" t="s">
        <v>2100</v>
      </c>
      <c r="BC354" s="1321" t="s">
        <v>2101</v>
      </c>
      <c r="BD354" s="1321" t="str">
        <f>IF(AND(P354&lt;&gt;"新加算Ⅰ",P354&lt;&gt;"新加算Ⅱ",P354&lt;&gt;"新加算Ⅲ",P354&lt;&gt;"新加算Ⅳ"),P354,IF(Q356&lt;&gt;"",Q356,""))</f>
        <v/>
      </c>
      <c r="BE354" s="1321"/>
      <c r="BF354" s="1321" t="str">
        <f t="shared" ref="BF354" si="353">IF(AM354&lt;&gt;0,IF(AN354="○","入力済","未入力"),"")</f>
        <v/>
      </c>
      <c r="BG354" s="1321"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321" t="str">
        <f>IF(OR(U354="新加算Ⅴ（７）",U354="新加算Ⅴ（９）",U354="新加算Ⅴ（10）",U354="新加算Ⅴ（12）",U354="新加算Ⅴ（13）",U354="新加算Ⅴ（14）"),IF(OR(AP354="○",AP354="令和６年度中に満たす"),"入力済","未入力"),"")</f>
        <v/>
      </c>
      <c r="BI354" s="1321" t="str">
        <f>IF(OR(U354="新加算Ⅰ",U354="新加算Ⅱ",U354="新加算Ⅲ",U354="新加算Ⅴ（１）",U354="新加算Ⅴ（３）",U354="新加算Ⅴ（８）"),IF(OR(AQ354="○",AQ354="令和６年度中に満たす"),"入力済","未入力"),"")</f>
        <v/>
      </c>
      <c r="BJ354" s="1512"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493" t="str">
        <f>IF(OR(U354="新加算Ⅰ",U354="新加算Ⅴ（１）",U354="新加算Ⅴ（２）",U354="新加算Ⅴ（５）",U354="新加算Ⅴ（７）",U354="新加算Ⅴ（10）"),IF(AS354="","未入力","入力済"),"")</f>
        <v/>
      </c>
      <c r="BL354" s="543" t="str">
        <f>G354</f>
        <v/>
      </c>
    </row>
    <row r="355" spans="1:64" ht="15" customHeight="1">
      <c r="A355" s="1226"/>
      <c r="B355" s="1272"/>
      <c r="C355" s="1261"/>
      <c r="D355" s="1261"/>
      <c r="E355" s="1261"/>
      <c r="F355" s="1262"/>
      <c r="G355" s="1266"/>
      <c r="H355" s="1266"/>
      <c r="I355" s="1266"/>
      <c r="J355" s="1372"/>
      <c r="K355" s="1266"/>
      <c r="L355" s="1247"/>
      <c r="M355" s="1374"/>
      <c r="N355" s="1370" t="str">
        <f>IF('別紙様式2-2（４・５月分）'!Q270="","",'別紙様式2-2（４・５月分）'!Q270)</f>
        <v/>
      </c>
      <c r="O355" s="1367"/>
      <c r="P355" s="1383"/>
      <c r="Q355" s="1384"/>
      <c r="R355" s="1385"/>
      <c r="S355" s="1393"/>
      <c r="T355" s="1414"/>
      <c r="U355" s="1416"/>
      <c r="V355" s="1458"/>
      <c r="W355" s="1351"/>
      <c r="X355" s="1353"/>
      <c r="Y355" s="1355"/>
      <c r="Z355" s="1353"/>
      <c r="AA355" s="1355"/>
      <c r="AB355" s="1353"/>
      <c r="AC355" s="1355"/>
      <c r="AD355" s="1353"/>
      <c r="AE355" s="1355"/>
      <c r="AF355" s="1355"/>
      <c r="AG355" s="1355"/>
      <c r="AH355" s="1361"/>
      <c r="AI355" s="1482"/>
      <c r="AJ355" s="1484"/>
      <c r="AK355" s="1486"/>
      <c r="AL355" s="1434"/>
      <c r="AM355" s="1488"/>
      <c r="AN355" s="1503"/>
      <c r="AO355" s="1365"/>
      <c r="AP355" s="1404"/>
      <c r="AQ355" s="1404"/>
      <c r="AR355" s="1490"/>
      <c r="AS355" s="1492"/>
      <c r="AT355" s="1331" t="str">
        <f t="shared" si="337"/>
        <v/>
      </c>
      <c r="AU355" s="651"/>
      <c r="AV355" s="1493"/>
      <c r="AW355" s="1518" t="str">
        <f>IF('別紙様式2-2（４・５月分）'!O270="","",'別紙様式2-2（４・５月分）'!O270)</f>
        <v/>
      </c>
      <c r="AX355" s="1507"/>
      <c r="AY355" s="1506"/>
      <c r="AZ355" s="1321"/>
      <c r="BA355" s="1321"/>
      <c r="BB355" s="1321"/>
      <c r="BC355" s="1321"/>
      <c r="BD355" s="1321"/>
      <c r="BE355" s="1321"/>
      <c r="BF355" s="1321"/>
      <c r="BG355" s="1321"/>
      <c r="BH355" s="1321"/>
      <c r="BI355" s="1321"/>
      <c r="BJ355" s="1512"/>
      <c r="BK355" s="1493"/>
      <c r="BL355" s="543" t="str">
        <f>G354</f>
        <v/>
      </c>
    </row>
    <row r="356" spans="1:64" ht="15" customHeight="1">
      <c r="A356" s="1240"/>
      <c r="B356" s="1272"/>
      <c r="C356" s="1261"/>
      <c r="D356" s="1261"/>
      <c r="E356" s="1261"/>
      <c r="F356" s="1262"/>
      <c r="G356" s="1266"/>
      <c r="H356" s="1266"/>
      <c r="I356" s="1266"/>
      <c r="J356" s="1372"/>
      <c r="K356" s="1266"/>
      <c r="L356" s="1247"/>
      <c r="M356" s="1374"/>
      <c r="N356" s="1371"/>
      <c r="O356" s="1368"/>
      <c r="P356" s="1390" t="s">
        <v>2179</v>
      </c>
      <c r="Q356" s="1386" t="str">
        <f>IFERROR(VLOOKUP('別紙様式2-2（４・５月分）'!AR269,【参考】数式用!$AT$5:$AV$22,3,FALSE),"")</f>
        <v/>
      </c>
      <c r="R356" s="1388" t="s">
        <v>2190</v>
      </c>
      <c r="S356" s="1394" t="str">
        <f>IFERROR(VLOOKUP(K354,【参考】数式用!$A$5:$AB$27,MATCH(Q356,【参考】数式用!$B$4:$AB$4,0)+1,0),"")</f>
        <v/>
      </c>
      <c r="T356" s="1459" t="s">
        <v>217</v>
      </c>
      <c r="U356" s="1461"/>
      <c r="V356" s="1463" t="str">
        <f>IFERROR(VLOOKUP(K354,【参考】数式用!$A$5:$AB$27,MATCH(U356,【参考】数式用!$B$4:$AB$4,0)+1,0),"")</f>
        <v/>
      </c>
      <c r="W356" s="1465" t="s">
        <v>19</v>
      </c>
      <c r="X356" s="1508">
        <v>7</v>
      </c>
      <c r="Y356" s="1407" t="s">
        <v>10</v>
      </c>
      <c r="Z356" s="1508">
        <v>4</v>
      </c>
      <c r="AA356" s="1407" t="s">
        <v>45</v>
      </c>
      <c r="AB356" s="1508">
        <v>8</v>
      </c>
      <c r="AC356" s="1407" t="s">
        <v>10</v>
      </c>
      <c r="AD356" s="1508">
        <v>3</v>
      </c>
      <c r="AE356" s="1407" t="s">
        <v>13</v>
      </c>
      <c r="AF356" s="1407" t="s">
        <v>24</v>
      </c>
      <c r="AG356" s="1407">
        <f>IF(X356&gt;=1,(AB356*12+AD356)-(X356*12+Z356)+1,"")</f>
        <v>12</v>
      </c>
      <c r="AH356" s="1409" t="s">
        <v>38</v>
      </c>
      <c r="AI356" s="1496" t="str">
        <f>IFERROR(ROUNDDOWN(ROUND(L354*V356,0)*M354,0)*AG356,"")</f>
        <v/>
      </c>
      <c r="AJ356" s="1510" t="str">
        <f>IFERROR(ROUNDDOWN(ROUND((L354*(V356-AX354)),0)*M354,0)*AG356,"")</f>
        <v/>
      </c>
      <c r="AK356" s="1494">
        <f>IFERROR(IF(OR(N354="",N355="",N357=""),0,ROUNDDOWN(ROUNDDOWN(ROUND(L354*VLOOKUP(K354,【参考】数式用!$A$5:$AB$27,MATCH("新加算Ⅳ",【参考】数式用!$B$4:$AB$4,0)+1,0),0)*M354,0)*AG356*0.5,0)),"")</f>
        <v>0</v>
      </c>
      <c r="AL356" s="1435" t="str">
        <f t="shared" ref="AL356" si="354">IF(U356&lt;&gt;"","新規に適用","")</f>
        <v/>
      </c>
      <c r="AM356" s="1498">
        <f>IFERROR(IF(OR(N357="ベア加算",N357=""),0, IF(OR(U354="新加算Ⅰ",U354="新加算Ⅱ",U354="新加算Ⅲ",U354="新加算Ⅳ"),0,ROUNDDOWN(ROUND(L354*VLOOKUP(K354,【参考】数式用!$A$5:$I$27,MATCH("ベア加算",【参考】数式用!$B$4:$I$4,0)+1,0),0)*M354,0)*AG356)),"")</f>
        <v>0</v>
      </c>
      <c r="AN356" s="1356" t="str">
        <f t="shared" ref="AN356" si="355">IF(AM356=0,"",IF(AND(U356&lt;&gt;"",AN354=""),"新規に適用",IF(AND(U356&lt;&gt;"",AN354&lt;&gt;""),"継続で適用","")))</f>
        <v/>
      </c>
      <c r="AO356" s="1356" t="str">
        <f>IF(AND(U356&lt;&gt;"",AO354=""),"新規に適用",IF(AND(U356&lt;&gt;"",AO354&lt;&gt;""),"継続で適用",""))</f>
        <v/>
      </c>
      <c r="AP356" s="1358"/>
      <c r="AQ356" s="1356" t="str">
        <f>IF(AND(U356&lt;&gt;"",AQ354=""),"新規に適用",IF(AND(U356&lt;&gt;"",AQ354&lt;&gt;""),"継続で適用",""))</f>
        <v/>
      </c>
      <c r="AR356" s="1344" t="str">
        <f t="shared" si="293"/>
        <v/>
      </c>
      <c r="AS356" s="1356" t="str">
        <f>IF(AND(U356&lt;&gt;"",AS354=""),"新規に適用",IF(AND(U356&lt;&gt;"",AS354&lt;&gt;""),"継続で適用",""))</f>
        <v/>
      </c>
      <c r="AT356" s="1331"/>
      <c r="AU356" s="651"/>
      <c r="AV356" s="1493" t="str">
        <f>IF(K354&lt;&gt;"","V列に色付け","")</f>
        <v/>
      </c>
      <c r="AW356" s="1518"/>
      <c r="AX356" s="1507"/>
      <c r="AY356" s="163"/>
      <c r="AZ356" s="163"/>
      <c r="BA356" s="163"/>
      <c r="BB356" s="163"/>
      <c r="BC356" s="163"/>
      <c r="BD356" s="163"/>
      <c r="BE356" s="163"/>
      <c r="BF356" s="163"/>
      <c r="BG356" s="163"/>
      <c r="BH356" s="163"/>
      <c r="BI356" s="163"/>
      <c r="BJ356" s="163"/>
      <c r="BK356" s="163"/>
      <c r="BL356" s="543" t="str">
        <f>G354</f>
        <v/>
      </c>
    </row>
    <row r="357" spans="1:64" ht="30" customHeight="1" thickBot="1">
      <c r="A357" s="1227"/>
      <c r="B357" s="1376"/>
      <c r="C357" s="1377"/>
      <c r="D357" s="1377"/>
      <c r="E357" s="1377"/>
      <c r="F357" s="1378"/>
      <c r="G357" s="1267"/>
      <c r="H357" s="1267"/>
      <c r="I357" s="1267"/>
      <c r="J357" s="1373"/>
      <c r="K357" s="1267"/>
      <c r="L357" s="1248"/>
      <c r="M357" s="1375"/>
      <c r="N357" s="650" t="str">
        <f>IF('別紙様式2-2（４・５月分）'!Q271="","",'別紙様式2-2（４・５月分）'!Q271)</f>
        <v/>
      </c>
      <c r="O357" s="1369"/>
      <c r="P357" s="1391"/>
      <c r="Q357" s="1387"/>
      <c r="R357" s="1389"/>
      <c r="S357" s="1395"/>
      <c r="T357" s="1460"/>
      <c r="U357" s="1462"/>
      <c r="V357" s="1464"/>
      <c r="W357" s="1466"/>
      <c r="X357" s="1509"/>
      <c r="Y357" s="1408"/>
      <c r="Z357" s="1509"/>
      <c r="AA357" s="1408"/>
      <c r="AB357" s="1509"/>
      <c r="AC357" s="1408"/>
      <c r="AD357" s="1509"/>
      <c r="AE357" s="1408"/>
      <c r="AF357" s="1408"/>
      <c r="AG357" s="1408"/>
      <c r="AH357" s="1410"/>
      <c r="AI357" s="1497"/>
      <c r="AJ357" s="1511"/>
      <c r="AK357" s="1495"/>
      <c r="AL357" s="1436"/>
      <c r="AM357" s="1499"/>
      <c r="AN357" s="1357"/>
      <c r="AO357" s="1357"/>
      <c r="AP357" s="1359"/>
      <c r="AQ357" s="1357"/>
      <c r="AR357" s="1345"/>
      <c r="AS357" s="1357"/>
      <c r="AT357" s="581" t="str">
        <f t="shared" ref="AT357" si="356">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51"/>
      <c r="AV357" s="1493"/>
      <c r="AW357" s="652" t="str">
        <f>IF('別紙様式2-2（４・５月分）'!O271="","",'別紙様式2-2（４・５月分）'!O271)</f>
        <v/>
      </c>
      <c r="AX357" s="1507"/>
      <c r="AY357" s="163"/>
      <c r="AZ357" s="163"/>
      <c r="BA357" s="163"/>
      <c r="BB357" s="163"/>
      <c r="BC357" s="163"/>
      <c r="BD357" s="163"/>
      <c r="BE357" s="163"/>
      <c r="BF357" s="163"/>
      <c r="BG357" s="163"/>
      <c r="BH357" s="163"/>
      <c r="BI357" s="163"/>
      <c r="BJ357" s="163"/>
      <c r="BK357" s="163"/>
      <c r="BL357" s="543" t="str">
        <f>G354</f>
        <v/>
      </c>
    </row>
    <row r="358" spans="1:64" ht="30" customHeight="1">
      <c r="A358" s="1225">
        <v>87</v>
      </c>
      <c r="B358" s="1271" t="str">
        <f>IF(基本情報入力シート!C140="","",基本情報入力シート!C140)</f>
        <v/>
      </c>
      <c r="C358" s="1259"/>
      <c r="D358" s="1259"/>
      <c r="E358" s="1259"/>
      <c r="F358" s="1260"/>
      <c r="G358" s="1265" t="str">
        <f>IF(基本情報入力シート!M140="","",基本情報入力シート!M140)</f>
        <v/>
      </c>
      <c r="H358" s="1265" t="str">
        <f>IF(基本情報入力シート!R140="","",基本情報入力シート!R140)</f>
        <v/>
      </c>
      <c r="I358" s="1265" t="str">
        <f>IF(基本情報入力シート!W140="","",基本情報入力シート!W140)</f>
        <v/>
      </c>
      <c r="J358" s="1379" t="str">
        <f>IF(基本情報入力シート!X140="","",基本情報入力シート!X140)</f>
        <v/>
      </c>
      <c r="K358" s="1265" t="str">
        <f>IF(基本情報入力シート!Y140="","",基本情報入力シート!Y140)</f>
        <v/>
      </c>
      <c r="L358" s="1246" t="str">
        <f>IF(基本情報入力シート!AB140="","",基本情報入力シート!AB140)</f>
        <v/>
      </c>
      <c r="M358" s="1249" t="str">
        <f>IF(基本情報入力シート!AC140="","",基本情報入力シート!AC140)</f>
        <v/>
      </c>
      <c r="N358" s="647" t="str">
        <f>IF('別紙様式2-2（４・５月分）'!Q272="","",'別紙様式2-2（４・５月分）'!Q272)</f>
        <v/>
      </c>
      <c r="O358" s="1366" t="str">
        <f>IF(SUM('別紙様式2-2（４・５月分）'!R272:R274)=0,"",SUM('別紙様式2-2（４・５月分）'!R272:R274))</f>
        <v/>
      </c>
      <c r="P358" s="1380" t="str">
        <f>IFERROR(VLOOKUP('別紙様式2-2（４・５月分）'!AR272,【参考】数式用!$AT$5:$AU$22,2,FALSE),"")</f>
        <v/>
      </c>
      <c r="Q358" s="1381"/>
      <c r="R358" s="1382"/>
      <c r="S358" s="1392" t="str">
        <f>IFERROR(VLOOKUP(K358,【参考】数式用!$A$5:$AB$27,MATCH(P358,【参考】数式用!$B$4:$AB$4,0)+1,0),"")</f>
        <v/>
      </c>
      <c r="T358" s="1413" t="s">
        <v>2173</v>
      </c>
      <c r="U358" s="1415"/>
      <c r="V358" s="1457" t="str">
        <f>IFERROR(VLOOKUP(K358,【参考】数式用!$A$5:$AB$27,MATCH(U358,【参考】数式用!$B$4:$AB$4,0)+1,0),"")</f>
        <v/>
      </c>
      <c r="W358" s="1350" t="s">
        <v>19</v>
      </c>
      <c r="X358" s="1352">
        <v>6</v>
      </c>
      <c r="Y358" s="1354" t="s">
        <v>10</v>
      </c>
      <c r="Z358" s="1352">
        <v>6</v>
      </c>
      <c r="AA358" s="1354" t="s">
        <v>45</v>
      </c>
      <c r="AB358" s="1352">
        <v>7</v>
      </c>
      <c r="AC358" s="1354" t="s">
        <v>10</v>
      </c>
      <c r="AD358" s="1352">
        <v>3</v>
      </c>
      <c r="AE358" s="1354" t="s">
        <v>13</v>
      </c>
      <c r="AF358" s="1354" t="s">
        <v>24</v>
      </c>
      <c r="AG358" s="1354">
        <f>IF(X358&gt;=1,(AB358*12+AD358)-(X358*12+Z358)+1,"")</f>
        <v>10</v>
      </c>
      <c r="AH358" s="1360" t="s">
        <v>38</v>
      </c>
      <c r="AI358" s="1481" t="str">
        <f>IFERROR(ROUNDDOWN(ROUND(L358*V358,0)*M358,0)*AG358,"")</f>
        <v/>
      </c>
      <c r="AJ358" s="1483" t="str">
        <f>IFERROR(ROUNDDOWN(ROUND((L358*(V358-AX358)),0)*M358,0)*AG358,"")</f>
        <v/>
      </c>
      <c r="AK358" s="1485">
        <f>IFERROR(IF(OR(N358="",N359="",N361=""),0,ROUNDDOWN(ROUNDDOWN(ROUND(L358*VLOOKUP(K358,【参考】数式用!$A$5:$AB$27,MATCH("新加算Ⅳ",【参考】数式用!$B$4:$AB$4,0)+1,0),0)*M358,0)*AG358*0.5,0)),"")</f>
        <v>0</v>
      </c>
      <c r="AL358" s="1433"/>
      <c r="AM358" s="1487">
        <f>IFERROR(IF(OR(N361="ベア加算",N361=""),0, IF(OR(U358="新加算Ⅰ",U358="新加算Ⅱ",U358="新加算Ⅲ",U358="新加算Ⅳ"),ROUNDDOWN(ROUND(L358*VLOOKUP(K358,【参考】数式用!$A$5:$I$27,MATCH("ベア加算",【参考】数式用!$B$4:$I$4,0)+1,0),0)*M358,0)*AG358,0)),"")</f>
        <v>0</v>
      </c>
      <c r="AN358" s="1502"/>
      <c r="AO358" s="1364"/>
      <c r="AP358" s="1403"/>
      <c r="AQ358" s="1403"/>
      <c r="AR358" s="1489"/>
      <c r="AS358" s="1491"/>
      <c r="AT358" s="556" t="str">
        <f t="shared" si="335"/>
        <v/>
      </c>
      <c r="AU358" s="651"/>
      <c r="AV358" s="1493" t="str">
        <f>IF(K358&lt;&gt;"","V列に色付け","")</f>
        <v/>
      </c>
      <c r="AW358" s="652" t="str">
        <f>IF('別紙様式2-2（４・５月分）'!O272="","",'別紙様式2-2（４・５月分）'!O272)</f>
        <v/>
      </c>
      <c r="AX358" s="1507" t="str">
        <f>IF(SUM('別紙様式2-2（４・５月分）'!P272:P274)=0,"",SUM('別紙様式2-2（４・５月分）'!P272:P274))</f>
        <v/>
      </c>
      <c r="AY358" s="1506" t="str">
        <f>IFERROR(VLOOKUP(K358,【参考】数式用!$AJ$2:$AK$24,2,FALSE),"")</f>
        <v/>
      </c>
      <c r="AZ358" s="1321" t="s">
        <v>2098</v>
      </c>
      <c r="BA358" s="1321" t="s">
        <v>2099</v>
      </c>
      <c r="BB358" s="1321" t="s">
        <v>2100</v>
      </c>
      <c r="BC358" s="1321" t="s">
        <v>2101</v>
      </c>
      <c r="BD358" s="1321" t="str">
        <f>IF(AND(P358&lt;&gt;"新加算Ⅰ",P358&lt;&gt;"新加算Ⅱ",P358&lt;&gt;"新加算Ⅲ",P358&lt;&gt;"新加算Ⅳ"),P358,IF(Q360&lt;&gt;"",Q360,""))</f>
        <v/>
      </c>
      <c r="BE358" s="1321"/>
      <c r="BF358" s="1321" t="str">
        <f t="shared" ref="BF358" si="357">IF(AM358&lt;&gt;0,IF(AN358="○","入力済","未入力"),"")</f>
        <v/>
      </c>
      <c r="BG358" s="1321"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321" t="str">
        <f>IF(OR(U358="新加算Ⅴ（７）",U358="新加算Ⅴ（９）",U358="新加算Ⅴ（10）",U358="新加算Ⅴ（12）",U358="新加算Ⅴ（13）",U358="新加算Ⅴ（14）"),IF(OR(AP358="○",AP358="令和６年度中に満たす"),"入力済","未入力"),"")</f>
        <v/>
      </c>
      <c r="BI358" s="1321" t="str">
        <f>IF(OR(U358="新加算Ⅰ",U358="新加算Ⅱ",U358="新加算Ⅲ",U358="新加算Ⅴ（１）",U358="新加算Ⅴ（３）",U358="新加算Ⅴ（８）"),IF(OR(AQ358="○",AQ358="令和６年度中に満たす"),"入力済","未入力"),"")</f>
        <v/>
      </c>
      <c r="BJ358" s="1512"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493" t="str">
        <f>IF(OR(U358="新加算Ⅰ",U358="新加算Ⅴ（１）",U358="新加算Ⅴ（２）",U358="新加算Ⅴ（５）",U358="新加算Ⅴ（７）",U358="新加算Ⅴ（10）"),IF(AS358="","未入力","入力済"),"")</f>
        <v/>
      </c>
      <c r="BL358" s="543" t="str">
        <f>G358</f>
        <v/>
      </c>
    </row>
    <row r="359" spans="1:64" ht="15" customHeight="1">
      <c r="A359" s="1226"/>
      <c r="B359" s="1272"/>
      <c r="C359" s="1261"/>
      <c r="D359" s="1261"/>
      <c r="E359" s="1261"/>
      <c r="F359" s="1262"/>
      <c r="G359" s="1266"/>
      <c r="H359" s="1266"/>
      <c r="I359" s="1266"/>
      <c r="J359" s="1372"/>
      <c r="K359" s="1266"/>
      <c r="L359" s="1247"/>
      <c r="M359" s="1250"/>
      <c r="N359" s="1370" t="str">
        <f>IF('別紙様式2-2（４・５月分）'!Q273="","",'別紙様式2-2（４・５月分）'!Q273)</f>
        <v/>
      </c>
      <c r="O359" s="1367"/>
      <c r="P359" s="1383"/>
      <c r="Q359" s="1384"/>
      <c r="R359" s="1385"/>
      <c r="S359" s="1393"/>
      <c r="T359" s="1414"/>
      <c r="U359" s="1416"/>
      <c r="V359" s="1458"/>
      <c r="W359" s="1351"/>
      <c r="X359" s="1353"/>
      <c r="Y359" s="1355"/>
      <c r="Z359" s="1353"/>
      <c r="AA359" s="1355"/>
      <c r="AB359" s="1353"/>
      <c r="AC359" s="1355"/>
      <c r="AD359" s="1353"/>
      <c r="AE359" s="1355"/>
      <c r="AF359" s="1355"/>
      <c r="AG359" s="1355"/>
      <c r="AH359" s="1361"/>
      <c r="AI359" s="1482"/>
      <c r="AJ359" s="1484"/>
      <c r="AK359" s="1486"/>
      <c r="AL359" s="1434"/>
      <c r="AM359" s="1488"/>
      <c r="AN359" s="1503"/>
      <c r="AO359" s="1365"/>
      <c r="AP359" s="1404"/>
      <c r="AQ359" s="1404"/>
      <c r="AR359" s="1490"/>
      <c r="AS359" s="1492"/>
      <c r="AT359" s="1331" t="str">
        <f t="shared" si="337"/>
        <v/>
      </c>
      <c r="AU359" s="651"/>
      <c r="AV359" s="1493"/>
      <c r="AW359" s="1518" t="str">
        <f>IF('別紙様式2-2（４・５月分）'!O273="","",'別紙様式2-2（４・５月分）'!O273)</f>
        <v/>
      </c>
      <c r="AX359" s="1507"/>
      <c r="AY359" s="1506"/>
      <c r="AZ359" s="1321"/>
      <c r="BA359" s="1321"/>
      <c r="BB359" s="1321"/>
      <c r="BC359" s="1321"/>
      <c r="BD359" s="1321"/>
      <c r="BE359" s="1321"/>
      <c r="BF359" s="1321"/>
      <c r="BG359" s="1321"/>
      <c r="BH359" s="1321"/>
      <c r="BI359" s="1321"/>
      <c r="BJ359" s="1512"/>
      <c r="BK359" s="1493"/>
      <c r="BL359" s="543" t="str">
        <f>G358</f>
        <v/>
      </c>
    </row>
    <row r="360" spans="1:64" ht="15" customHeight="1">
      <c r="A360" s="1240"/>
      <c r="B360" s="1272"/>
      <c r="C360" s="1261"/>
      <c r="D360" s="1261"/>
      <c r="E360" s="1261"/>
      <c r="F360" s="1262"/>
      <c r="G360" s="1266"/>
      <c r="H360" s="1266"/>
      <c r="I360" s="1266"/>
      <c r="J360" s="1372"/>
      <c r="K360" s="1266"/>
      <c r="L360" s="1247"/>
      <c r="M360" s="1250"/>
      <c r="N360" s="1371"/>
      <c r="O360" s="1368"/>
      <c r="P360" s="1390" t="s">
        <v>2179</v>
      </c>
      <c r="Q360" s="1386" t="str">
        <f>IFERROR(VLOOKUP('別紙様式2-2（４・５月分）'!AR272,【参考】数式用!$AT$5:$AV$22,3,FALSE),"")</f>
        <v/>
      </c>
      <c r="R360" s="1388" t="s">
        <v>2190</v>
      </c>
      <c r="S360" s="1396" t="str">
        <f>IFERROR(VLOOKUP(K358,【参考】数式用!$A$5:$AB$27,MATCH(Q360,【参考】数式用!$B$4:$AB$4,0)+1,0),"")</f>
        <v/>
      </c>
      <c r="T360" s="1459" t="s">
        <v>217</v>
      </c>
      <c r="U360" s="1461"/>
      <c r="V360" s="1463" t="str">
        <f>IFERROR(VLOOKUP(K358,【参考】数式用!$A$5:$AB$27,MATCH(U360,【参考】数式用!$B$4:$AB$4,0)+1,0),"")</f>
        <v/>
      </c>
      <c r="W360" s="1465" t="s">
        <v>19</v>
      </c>
      <c r="X360" s="1508">
        <v>7</v>
      </c>
      <c r="Y360" s="1407" t="s">
        <v>10</v>
      </c>
      <c r="Z360" s="1508">
        <v>4</v>
      </c>
      <c r="AA360" s="1407" t="s">
        <v>45</v>
      </c>
      <c r="AB360" s="1508">
        <v>8</v>
      </c>
      <c r="AC360" s="1407" t="s">
        <v>10</v>
      </c>
      <c r="AD360" s="1508">
        <v>3</v>
      </c>
      <c r="AE360" s="1407" t="s">
        <v>13</v>
      </c>
      <c r="AF360" s="1407" t="s">
        <v>24</v>
      </c>
      <c r="AG360" s="1407">
        <f>IF(X360&gt;=1,(AB360*12+AD360)-(X360*12+Z360)+1,"")</f>
        <v>12</v>
      </c>
      <c r="AH360" s="1409" t="s">
        <v>38</v>
      </c>
      <c r="AI360" s="1496" t="str">
        <f>IFERROR(ROUNDDOWN(ROUND(L358*V360,0)*M358,0)*AG360,"")</f>
        <v/>
      </c>
      <c r="AJ360" s="1510" t="str">
        <f>IFERROR(ROUNDDOWN(ROUND((L358*(V360-AX358)),0)*M358,0)*AG360,"")</f>
        <v/>
      </c>
      <c r="AK360" s="1494">
        <f>IFERROR(IF(OR(N358="",N359="",N361=""),0,ROUNDDOWN(ROUNDDOWN(ROUND(L358*VLOOKUP(K358,【参考】数式用!$A$5:$AB$27,MATCH("新加算Ⅳ",【参考】数式用!$B$4:$AB$4,0)+1,0),0)*M358,0)*AG360*0.5,0)),"")</f>
        <v>0</v>
      </c>
      <c r="AL360" s="1435" t="str">
        <f t="shared" ref="AL360" si="358">IF(U360&lt;&gt;"","新規に適用","")</f>
        <v/>
      </c>
      <c r="AM360" s="1498">
        <f>IFERROR(IF(OR(N361="ベア加算",N361=""),0, IF(OR(U358="新加算Ⅰ",U358="新加算Ⅱ",U358="新加算Ⅲ",U358="新加算Ⅳ"),0,ROUNDDOWN(ROUND(L358*VLOOKUP(K358,【参考】数式用!$A$5:$I$27,MATCH("ベア加算",【参考】数式用!$B$4:$I$4,0)+1,0),0)*M358,0)*AG360)),"")</f>
        <v>0</v>
      </c>
      <c r="AN360" s="1356" t="str">
        <f t="shared" ref="AN360" si="359">IF(AM360=0,"",IF(AND(U360&lt;&gt;"",AN358=""),"新規に適用",IF(AND(U360&lt;&gt;"",AN358&lt;&gt;""),"継続で適用","")))</f>
        <v/>
      </c>
      <c r="AO360" s="1356" t="str">
        <f>IF(AND(U360&lt;&gt;"",AO358=""),"新規に適用",IF(AND(U360&lt;&gt;"",AO358&lt;&gt;""),"継続で適用",""))</f>
        <v/>
      </c>
      <c r="AP360" s="1358"/>
      <c r="AQ360" s="1356" t="str">
        <f>IF(AND(U360&lt;&gt;"",AQ358=""),"新規に適用",IF(AND(U360&lt;&gt;"",AQ358&lt;&gt;""),"継続で適用",""))</f>
        <v/>
      </c>
      <c r="AR360" s="1344" t="str">
        <f t="shared" ref="AR360:AR412" si="360">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56" t="str">
        <f>IF(AND(U360&lt;&gt;"",AS358=""),"新規に適用",IF(AND(U360&lt;&gt;"",AS358&lt;&gt;""),"継続で適用",""))</f>
        <v/>
      </c>
      <c r="AT360" s="1331"/>
      <c r="AU360" s="651"/>
      <c r="AV360" s="1493" t="str">
        <f>IF(K358&lt;&gt;"","V列に色付け","")</f>
        <v/>
      </c>
      <c r="AW360" s="1518"/>
      <c r="AX360" s="1507"/>
      <c r="AY360" s="163"/>
      <c r="AZ360" s="163"/>
      <c r="BA360" s="163"/>
      <c r="BB360" s="163"/>
      <c r="BC360" s="163"/>
      <c r="BD360" s="163"/>
      <c r="BE360" s="163"/>
      <c r="BF360" s="163"/>
      <c r="BG360" s="163"/>
      <c r="BH360" s="163"/>
      <c r="BI360" s="163"/>
      <c r="BJ360" s="163"/>
      <c r="BK360" s="163"/>
      <c r="BL360" s="543" t="str">
        <f>G358</f>
        <v/>
      </c>
    </row>
    <row r="361" spans="1:64" ht="30" customHeight="1" thickBot="1">
      <c r="A361" s="1227"/>
      <c r="B361" s="1376"/>
      <c r="C361" s="1377"/>
      <c r="D361" s="1377"/>
      <c r="E361" s="1377"/>
      <c r="F361" s="1378"/>
      <c r="G361" s="1267"/>
      <c r="H361" s="1267"/>
      <c r="I361" s="1267"/>
      <c r="J361" s="1373"/>
      <c r="K361" s="1267"/>
      <c r="L361" s="1248"/>
      <c r="M361" s="1251"/>
      <c r="N361" s="650" t="str">
        <f>IF('別紙様式2-2（４・５月分）'!Q274="","",'別紙様式2-2（４・５月分）'!Q274)</f>
        <v/>
      </c>
      <c r="O361" s="1369"/>
      <c r="P361" s="1391"/>
      <c r="Q361" s="1387"/>
      <c r="R361" s="1389"/>
      <c r="S361" s="1395"/>
      <c r="T361" s="1460"/>
      <c r="U361" s="1462"/>
      <c r="V361" s="1464"/>
      <c r="W361" s="1466"/>
      <c r="X361" s="1509"/>
      <c r="Y361" s="1408"/>
      <c r="Z361" s="1509"/>
      <c r="AA361" s="1408"/>
      <c r="AB361" s="1509"/>
      <c r="AC361" s="1408"/>
      <c r="AD361" s="1509"/>
      <c r="AE361" s="1408"/>
      <c r="AF361" s="1408"/>
      <c r="AG361" s="1408"/>
      <c r="AH361" s="1410"/>
      <c r="AI361" s="1497"/>
      <c r="AJ361" s="1511"/>
      <c r="AK361" s="1495"/>
      <c r="AL361" s="1436"/>
      <c r="AM361" s="1499"/>
      <c r="AN361" s="1357"/>
      <c r="AO361" s="1357"/>
      <c r="AP361" s="1359"/>
      <c r="AQ361" s="1357"/>
      <c r="AR361" s="1345"/>
      <c r="AS361" s="1357"/>
      <c r="AT361" s="581" t="str">
        <f t="shared" ref="AT361" si="361">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51"/>
      <c r="AV361" s="1493"/>
      <c r="AW361" s="652" t="str">
        <f>IF('別紙様式2-2（４・５月分）'!O274="","",'別紙様式2-2（４・５月分）'!O274)</f>
        <v/>
      </c>
      <c r="AX361" s="1507"/>
      <c r="AY361" s="163"/>
      <c r="AZ361" s="163"/>
      <c r="BA361" s="163"/>
      <c r="BB361" s="163"/>
      <c r="BC361" s="163"/>
      <c r="BD361" s="163"/>
      <c r="BE361" s="163"/>
      <c r="BF361" s="163"/>
      <c r="BG361" s="163"/>
      <c r="BH361" s="163"/>
      <c r="BI361" s="163"/>
      <c r="BJ361" s="163"/>
      <c r="BK361" s="163"/>
      <c r="BL361" s="543" t="str">
        <f>G358</f>
        <v/>
      </c>
    </row>
    <row r="362" spans="1:64" ht="30" customHeight="1">
      <c r="A362" s="1241">
        <v>88</v>
      </c>
      <c r="B362" s="1272" t="str">
        <f>IF(基本情報入力シート!C141="","",基本情報入力シート!C141)</f>
        <v/>
      </c>
      <c r="C362" s="1261"/>
      <c r="D362" s="1261"/>
      <c r="E362" s="1261"/>
      <c r="F362" s="1262"/>
      <c r="G362" s="1266" t="str">
        <f>IF(基本情報入力シート!M141="","",基本情報入力シート!M141)</f>
        <v/>
      </c>
      <c r="H362" s="1266" t="str">
        <f>IF(基本情報入力シート!R141="","",基本情報入力シート!R141)</f>
        <v/>
      </c>
      <c r="I362" s="1266" t="str">
        <f>IF(基本情報入力シート!W141="","",基本情報入力シート!W141)</f>
        <v/>
      </c>
      <c r="J362" s="1372" t="str">
        <f>IF(基本情報入力シート!X141="","",基本情報入力シート!X141)</f>
        <v/>
      </c>
      <c r="K362" s="1266" t="str">
        <f>IF(基本情報入力シート!Y141="","",基本情報入力シート!Y141)</f>
        <v/>
      </c>
      <c r="L362" s="1247" t="str">
        <f>IF(基本情報入力シート!AB141="","",基本情報入力シート!AB141)</f>
        <v/>
      </c>
      <c r="M362" s="1374" t="str">
        <f>IF(基本情報入力シート!AC141="","",基本情報入力シート!AC141)</f>
        <v/>
      </c>
      <c r="N362" s="647" t="str">
        <f>IF('別紙様式2-2（４・５月分）'!Q275="","",'別紙様式2-2（４・５月分）'!Q275)</f>
        <v/>
      </c>
      <c r="O362" s="1366" t="str">
        <f>IF(SUM('別紙様式2-2（４・５月分）'!R275:R277)=0,"",SUM('別紙様式2-2（４・５月分）'!R275:R277))</f>
        <v/>
      </c>
      <c r="P362" s="1380" t="str">
        <f>IFERROR(VLOOKUP('別紙様式2-2（４・５月分）'!AR275,【参考】数式用!$AT$5:$AU$22,2,FALSE),"")</f>
        <v/>
      </c>
      <c r="Q362" s="1381"/>
      <c r="R362" s="1382"/>
      <c r="S362" s="1392" t="str">
        <f>IFERROR(VLOOKUP(K362,【参考】数式用!$A$5:$AB$27,MATCH(P362,【参考】数式用!$B$4:$AB$4,0)+1,0),"")</f>
        <v/>
      </c>
      <c r="T362" s="1413" t="s">
        <v>2173</v>
      </c>
      <c r="U362" s="1415"/>
      <c r="V362" s="1457" t="str">
        <f>IFERROR(VLOOKUP(K362,【参考】数式用!$A$5:$AB$27,MATCH(U362,【参考】数式用!$B$4:$AB$4,0)+1,0),"")</f>
        <v/>
      </c>
      <c r="W362" s="1350" t="s">
        <v>19</v>
      </c>
      <c r="X362" s="1352">
        <v>6</v>
      </c>
      <c r="Y362" s="1354" t="s">
        <v>10</v>
      </c>
      <c r="Z362" s="1352">
        <v>6</v>
      </c>
      <c r="AA362" s="1354" t="s">
        <v>45</v>
      </c>
      <c r="AB362" s="1352">
        <v>7</v>
      </c>
      <c r="AC362" s="1354" t="s">
        <v>10</v>
      </c>
      <c r="AD362" s="1352">
        <v>3</v>
      </c>
      <c r="AE362" s="1354" t="s">
        <v>13</v>
      </c>
      <c r="AF362" s="1354" t="s">
        <v>24</v>
      </c>
      <c r="AG362" s="1354">
        <f>IF(X362&gt;=1,(AB362*12+AD362)-(X362*12+Z362)+1,"")</f>
        <v>10</v>
      </c>
      <c r="AH362" s="1360" t="s">
        <v>38</v>
      </c>
      <c r="AI362" s="1481" t="str">
        <f>IFERROR(ROUNDDOWN(ROUND(L362*V362,0)*M362,0)*AG362,"")</f>
        <v/>
      </c>
      <c r="AJ362" s="1483" t="str">
        <f>IFERROR(ROUNDDOWN(ROUND((L362*(V362-AX362)),0)*M362,0)*AG362,"")</f>
        <v/>
      </c>
      <c r="AK362" s="1485">
        <f>IFERROR(IF(OR(N362="",N363="",N365=""),0,ROUNDDOWN(ROUNDDOWN(ROUND(L362*VLOOKUP(K362,【参考】数式用!$A$5:$AB$27,MATCH("新加算Ⅳ",【参考】数式用!$B$4:$AB$4,0)+1,0),0)*M362,0)*AG362*0.5,0)),"")</f>
        <v>0</v>
      </c>
      <c r="AL362" s="1433"/>
      <c r="AM362" s="1487">
        <f>IFERROR(IF(OR(N365="ベア加算",N365=""),0, IF(OR(U362="新加算Ⅰ",U362="新加算Ⅱ",U362="新加算Ⅲ",U362="新加算Ⅳ"),ROUNDDOWN(ROUND(L362*VLOOKUP(K362,【参考】数式用!$A$5:$I$27,MATCH("ベア加算",【参考】数式用!$B$4:$I$4,0)+1,0),0)*M362,0)*AG362,0)),"")</f>
        <v>0</v>
      </c>
      <c r="AN362" s="1502"/>
      <c r="AO362" s="1364"/>
      <c r="AP362" s="1403"/>
      <c r="AQ362" s="1403"/>
      <c r="AR362" s="1489"/>
      <c r="AS362" s="1491"/>
      <c r="AT362" s="556" t="str">
        <f t="shared" si="335"/>
        <v/>
      </c>
      <c r="AU362" s="651"/>
      <c r="AV362" s="1493" t="str">
        <f>IF(K362&lt;&gt;"","V列に色付け","")</f>
        <v/>
      </c>
      <c r="AW362" s="652" t="str">
        <f>IF('別紙様式2-2（４・５月分）'!O275="","",'別紙様式2-2（４・５月分）'!O275)</f>
        <v/>
      </c>
      <c r="AX362" s="1507" t="str">
        <f>IF(SUM('別紙様式2-2（４・５月分）'!P275:P277)=0,"",SUM('別紙様式2-2（４・５月分）'!P275:P277))</f>
        <v/>
      </c>
      <c r="AY362" s="1506" t="str">
        <f>IFERROR(VLOOKUP(K362,【参考】数式用!$AJ$2:$AK$24,2,FALSE),"")</f>
        <v/>
      </c>
      <c r="AZ362" s="1321" t="s">
        <v>2098</v>
      </c>
      <c r="BA362" s="1321" t="s">
        <v>2099</v>
      </c>
      <c r="BB362" s="1321" t="s">
        <v>2100</v>
      </c>
      <c r="BC362" s="1321" t="s">
        <v>2101</v>
      </c>
      <c r="BD362" s="1321" t="str">
        <f>IF(AND(P362&lt;&gt;"新加算Ⅰ",P362&lt;&gt;"新加算Ⅱ",P362&lt;&gt;"新加算Ⅲ",P362&lt;&gt;"新加算Ⅳ"),P362,IF(Q364&lt;&gt;"",Q364,""))</f>
        <v/>
      </c>
      <c r="BE362" s="1321"/>
      <c r="BF362" s="1321" t="str">
        <f t="shared" ref="BF362" si="362">IF(AM362&lt;&gt;0,IF(AN362="○","入力済","未入力"),"")</f>
        <v/>
      </c>
      <c r="BG362" s="1321"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321" t="str">
        <f>IF(OR(U362="新加算Ⅴ（７）",U362="新加算Ⅴ（９）",U362="新加算Ⅴ（10）",U362="新加算Ⅴ（12）",U362="新加算Ⅴ（13）",U362="新加算Ⅴ（14）"),IF(OR(AP362="○",AP362="令和６年度中に満たす"),"入力済","未入力"),"")</f>
        <v/>
      </c>
      <c r="BI362" s="1321" t="str">
        <f>IF(OR(U362="新加算Ⅰ",U362="新加算Ⅱ",U362="新加算Ⅲ",U362="新加算Ⅴ（１）",U362="新加算Ⅴ（３）",U362="新加算Ⅴ（８）"),IF(OR(AQ362="○",AQ362="令和６年度中に満たす"),"入力済","未入力"),"")</f>
        <v/>
      </c>
      <c r="BJ362" s="1512"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493" t="str">
        <f>IF(OR(U362="新加算Ⅰ",U362="新加算Ⅴ（１）",U362="新加算Ⅴ（２）",U362="新加算Ⅴ（５）",U362="新加算Ⅴ（７）",U362="新加算Ⅴ（10）"),IF(AS362="","未入力","入力済"),"")</f>
        <v/>
      </c>
      <c r="BL362" s="543" t="str">
        <f>G362</f>
        <v/>
      </c>
    </row>
    <row r="363" spans="1:64" ht="15" customHeight="1">
      <c r="A363" s="1226"/>
      <c r="B363" s="1272"/>
      <c r="C363" s="1261"/>
      <c r="D363" s="1261"/>
      <c r="E363" s="1261"/>
      <c r="F363" s="1262"/>
      <c r="G363" s="1266"/>
      <c r="H363" s="1266"/>
      <c r="I363" s="1266"/>
      <c r="J363" s="1372"/>
      <c r="K363" s="1266"/>
      <c r="L363" s="1247"/>
      <c r="M363" s="1374"/>
      <c r="N363" s="1370" t="str">
        <f>IF('別紙様式2-2（４・５月分）'!Q276="","",'別紙様式2-2（４・５月分）'!Q276)</f>
        <v/>
      </c>
      <c r="O363" s="1367"/>
      <c r="P363" s="1383"/>
      <c r="Q363" s="1384"/>
      <c r="R363" s="1385"/>
      <c r="S363" s="1393"/>
      <c r="T363" s="1414"/>
      <c r="U363" s="1416"/>
      <c r="V363" s="1458"/>
      <c r="W363" s="1351"/>
      <c r="X363" s="1353"/>
      <c r="Y363" s="1355"/>
      <c r="Z363" s="1353"/>
      <c r="AA363" s="1355"/>
      <c r="AB363" s="1353"/>
      <c r="AC363" s="1355"/>
      <c r="AD363" s="1353"/>
      <c r="AE363" s="1355"/>
      <c r="AF363" s="1355"/>
      <c r="AG363" s="1355"/>
      <c r="AH363" s="1361"/>
      <c r="AI363" s="1482"/>
      <c r="AJ363" s="1484"/>
      <c r="AK363" s="1486"/>
      <c r="AL363" s="1434"/>
      <c r="AM363" s="1488"/>
      <c r="AN363" s="1503"/>
      <c r="AO363" s="1365"/>
      <c r="AP363" s="1404"/>
      <c r="AQ363" s="1404"/>
      <c r="AR363" s="1490"/>
      <c r="AS363" s="1492"/>
      <c r="AT363" s="1331" t="str">
        <f t="shared" si="337"/>
        <v/>
      </c>
      <c r="AU363" s="651"/>
      <c r="AV363" s="1493"/>
      <c r="AW363" s="1518" t="str">
        <f>IF('別紙様式2-2（４・５月分）'!O276="","",'別紙様式2-2（４・５月分）'!O276)</f>
        <v/>
      </c>
      <c r="AX363" s="1507"/>
      <c r="AY363" s="1506"/>
      <c r="AZ363" s="1321"/>
      <c r="BA363" s="1321"/>
      <c r="BB363" s="1321"/>
      <c r="BC363" s="1321"/>
      <c r="BD363" s="1321"/>
      <c r="BE363" s="1321"/>
      <c r="BF363" s="1321"/>
      <c r="BG363" s="1321"/>
      <c r="BH363" s="1321"/>
      <c r="BI363" s="1321"/>
      <c r="BJ363" s="1512"/>
      <c r="BK363" s="1493"/>
      <c r="BL363" s="543" t="str">
        <f>G362</f>
        <v/>
      </c>
    </row>
    <row r="364" spans="1:64" ht="15" customHeight="1">
      <c r="A364" s="1240"/>
      <c r="B364" s="1272"/>
      <c r="C364" s="1261"/>
      <c r="D364" s="1261"/>
      <c r="E364" s="1261"/>
      <c r="F364" s="1262"/>
      <c r="G364" s="1266"/>
      <c r="H364" s="1266"/>
      <c r="I364" s="1266"/>
      <c r="J364" s="1372"/>
      <c r="K364" s="1266"/>
      <c r="L364" s="1247"/>
      <c r="M364" s="1374"/>
      <c r="N364" s="1371"/>
      <c r="O364" s="1368"/>
      <c r="P364" s="1390" t="s">
        <v>2179</v>
      </c>
      <c r="Q364" s="1386" t="str">
        <f>IFERROR(VLOOKUP('別紙様式2-2（４・５月分）'!AR275,【参考】数式用!$AT$5:$AV$22,3,FALSE),"")</f>
        <v/>
      </c>
      <c r="R364" s="1388" t="s">
        <v>2190</v>
      </c>
      <c r="S364" s="1394" t="str">
        <f>IFERROR(VLOOKUP(K362,【参考】数式用!$A$5:$AB$27,MATCH(Q364,【参考】数式用!$B$4:$AB$4,0)+1,0),"")</f>
        <v/>
      </c>
      <c r="T364" s="1459" t="s">
        <v>217</v>
      </c>
      <c r="U364" s="1461"/>
      <c r="V364" s="1463" t="str">
        <f>IFERROR(VLOOKUP(K362,【参考】数式用!$A$5:$AB$27,MATCH(U364,【参考】数式用!$B$4:$AB$4,0)+1,0),"")</f>
        <v/>
      </c>
      <c r="W364" s="1465" t="s">
        <v>19</v>
      </c>
      <c r="X364" s="1508">
        <v>7</v>
      </c>
      <c r="Y364" s="1407" t="s">
        <v>10</v>
      </c>
      <c r="Z364" s="1508">
        <v>4</v>
      </c>
      <c r="AA364" s="1407" t="s">
        <v>45</v>
      </c>
      <c r="AB364" s="1508">
        <v>8</v>
      </c>
      <c r="AC364" s="1407" t="s">
        <v>10</v>
      </c>
      <c r="AD364" s="1508">
        <v>3</v>
      </c>
      <c r="AE364" s="1407" t="s">
        <v>13</v>
      </c>
      <c r="AF364" s="1407" t="s">
        <v>24</v>
      </c>
      <c r="AG364" s="1407">
        <f>IF(X364&gt;=1,(AB364*12+AD364)-(X364*12+Z364)+1,"")</f>
        <v>12</v>
      </c>
      <c r="AH364" s="1409" t="s">
        <v>38</v>
      </c>
      <c r="AI364" s="1496" t="str">
        <f>IFERROR(ROUNDDOWN(ROUND(L362*V364,0)*M362,0)*AG364,"")</f>
        <v/>
      </c>
      <c r="AJ364" s="1510" t="str">
        <f>IFERROR(ROUNDDOWN(ROUND((L362*(V364-AX362)),0)*M362,0)*AG364,"")</f>
        <v/>
      </c>
      <c r="AK364" s="1494">
        <f>IFERROR(IF(OR(N362="",N363="",N365=""),0,ROUNDDOWN(ROUNDDOWN(ROUND(L362*VLOOKUP(K362,【参考】数式用!$A$5:$AB$27,MATCH("新加算Ⅳ",【参考】数式用!$B$4:$AB$4,0)+1,0),0)*M362,0)*AG364*0.5,0)),"")</f>
        <v>0</v>
      </c>
      <c r="AL364" s="1435" t="str">
        <f t="shared" ref="AL364" si="363">IF(U364&lt;&gt;"","新規に適用","")</f>
        <v/>
      </c>
      <c r="AM364" s="1498">
        <f>IFERROR(IF(OR(N365="ベア加算",N365=""),0, IF(OR(U362="新加算Ⅰ",U362="新加算Ⅱ",U362="新加算Ⅲ",U362="新加算Ⅳ"),0,ROUNDDOWN(ROUND(L362*VLOOKUP(K362,【参考】数式用!$A$5:$I$27,MATCH("ベア加算",【参考】数式用!$B$4:$I$4,0)+1,0),0)*M362,0)*AG364)),"")</f>
        <v>0</v>
      </c>
      <c r="AN364" s="1356" t="str">
        <f t="shared" ref="AN364" si="364">IF(AM364=0,"",IF(AND(U364&lt;&gt;"",AN362=""),"新規に適用",IF(AND(U364&lt;&gt;"",AN362&lt;&gt;""),"継続で適用","")))</f>
        <v/>
      </c>
      <c r="AO364" s="1356" t="str">
        <f>IF(AND(U364&lt;&gt;"",AO362=""),"新規に適用",IF(AND(U364&lt;&gt;"",AO362&lt;&gt;""),"継続で適用",""))</f>
        <v/>
      </c>
      <c r="AP364" s="1358"/>
      <c r="AQ364" s="1356" t="str">
        <f>IF(AND(U364&lt;&gt;"",AQ362=""),"新規に適用",IF(AND(U364&lt;&gt;"",AQ362&lt;&gt;""),"継続で適用",""))</f>
        <v/>
      </c>
      <c r="AR364" s="1344" t="str">
        <f t="shared" si="360"/>
        <v/>
      </c>
      <c r="AS364" s="1356" t="str">
        <f>IF(AND(U364&lt;&gt;"",AS362=""),"新規に適用",IF(AND(U364&lt;&gt;"",AS362&lt;&gt;""),"継続で適用",""))</f>
        <v/>
      </c>
      <c r="AT364" s="1331"/>
      <c r="AU364" s="651"/>
      <c r="AV364" s="1493" t="str">
        <f>IF(K362&lt;&gt;"","V列に色付け","")</f>
        <v/>
      </c>
      <c r="AW364" s="1518"/>
      <c r="AX364" s="1507"/>
      <c r="AY364" s="163"/>
      <c r="AZ364" s="163"/>
      <c r="BA364" s="163"/>
      <c r="BB364" s="163"/>
      <c r="BC364" s="163"/>
      <c r="BD364" s="163"/>
      <c r="BE364" s="163"/>
      <c r="BF364" s="163"/>
      <c r="BG364" s="163"/>
      <c r="BH364" s="163"/>
      <c r="BI364" s="163"/>
      <c r="BJ364" s="163"/>
      <c r="BK364" s="163"/>
      <c r="BL364" s="543" t="str">
        <f>G362</f>
        <v/>
      </c>
    </row>
    <row r="365" spans="1:64" ht="30" customHeight="1" thickBot="1">
      <c r="A365" s="1227"/>
      <c r="B365" s="1376"/>
      <c r="C365" s="1377"/>
      <c r="D365" s="1377"/>
      <c r="E365" s="1377"/>
      <c r="F365" s="1378"/>
      <c r="G365" s="1267"/>
      <c r="H365" s="1267"/>
      <c r="I365" s="1267"/>
      <c r="J365" s="1373"/>
      <c r="K365" s="1267"/>
      <c r="L365" s="1248"/>
      <c r="M365" s="1375"/>
      <c r="N365" s="650" t="str">
        <f>IF('別紙様式2-2（４・５月分）'!Q277="","",'別紙様式2-2（４・５月分）'!Q277)</f>
        <v/>
      </c>
      <c r="O365" s="1369"/>
      <c r="P365" s="1391"/>
      <c r="Q365" s="1387"/>
      <c r="R365" s="1389"/>
      <c r="S365" s="1395"/>
      <c r="T365" s="1460"/>
      <c r="U365" s="1462"/>
      <c r="V365" s="1464"/>
      <c r="W365" s="1466"/>
      <c r="X365" s="1509"/>
      <c r="Y365" s="1408"/>
      <c r="Z365" s="1509"/>
      <c r="AA365" s="1408"/>
      <c r="AB365" s="1509"/>
      <c r="AC365" s="1408"/>
      <c r="AD365" s="1509"/>
      <c r="AE365" s="1408"/>
      <c r="AF365" s="1408"/>
      <c r="AG365" s="1408"/>
      <c r="AH365" s="1410"/>
      <c r="AI365" s="1497"/>
      <c r="AJ365" s="1511"/>
      <c r="AK365" s="1495"/>
      <c r="AL365" s="1436"/>
      <c r="AM365" s="1499"/>
      <c r="AN365" s="1357"/>
      <c r="AO365" s="1357"/>
      <c r="AP365" s="1359"/>
      <c r="AQ365" s="1357"/>
      <c r="AR365" s="1345"/>
      <c r="AS365" s="1357"/>
      <c r="AT365" s="581" t="str">
        <f t="shared" ref="AT365" si="365">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51"/>
      <c r="AV365" s="1493"/>
      <c r="AW365" s="652" t="str">
        <f>IF('別紙様式2-2（４・５月分）'!O277="","",'別紙様式2-2（４・５月分）'!O277)</f>
        <v/>
      </c>
      <c r="AX365" s="1507"/>
      <c r="AY365" s="163"/>
      <c r="AZ365" s="163"/>
      <c r="BA365" s="163"/>
      <c r="BB365" s="163"/>
      <c r="BC365" s="163"/>
      <c r="BD365" s="163"/>
      <c r="BE365" s="163"/>
      <c r="BF365" s="163"/>
      <c r="BG365" s="163"/>
      <c r="BH365" s="163"/>
      <c r="BI365" s="163"/>
      <c r="BJ365" s="163"/>
      <c r="BK365" s="163"/>
      <c r="BL365" s="543" t="str">
        <f>G362</f>
        <v/>
      </c>
    </row>
    <row r="366" spans="1:64" ht="30" customHeight="1">
      <c r="A366" s="1225">
        <v>89</v>
      </c>
      <c r="B366" s="1271" t="str">
        <f>IF(基本情報入力シート!C142="","",基本情報入力シート!C142)</f>
        <v/>
      </c>
      <c r="C366" s="1259"/>
      <c r="D366" s="1259"/>
      <c r="E366" s="1259"/>
      <c r="F366" s="1260"/>
      <c r="G366" s="1265" t="str">
        <f>IF(基本情報入力シート!M142="","",基本情報入力シート!M142)</f>
        <v/>
      </c>
      <c r="H366" s="1265" t="str">
        <f>IF(基本情報入力シート!R142="","",基本情報入力シート!R142)</f>
        <v/>
      </c>
      <c r="I366" s="1265" t="str">
        <f>IF(基本情報入力シート!W142="","",基本情報入力シート!W142)</f>
        <v/>
      </c>
      <c r="J366" s="1379" t="str">
        <f>IF(基本情報入力シート!X142="","",基本情報入力シート!X142)</f>
        <v/>
      </c>
      <c r="K366" s="1265" t="str">
        <f>IF(基本情報入力シート!Y142="","",基本情報入力シート!Y142)</f>
        <v/>
      </c>
      <c r="L366" s="1246" t="str">
        <f>IF(基本情報入力シート!AB142="","",基本情報入力シート!AB142)</f>
        <v/>
      </c>
      <c r="M366" s="1249" t="str">
        <f>IF(基本情報入力シート!AC142="","",基本情報入力シート!AC142)</f>
        <v/>
      </c>
      <c r="N366" s="647" t="str">
        <f>IF('別紙様式2-2（４・５月分）'!Q278="","",'別紙様式2-2（４・５月分）'!Q278)</f>
        <v/>
      </c>
      <c r="O366" s="1366" t="str">
        <f>IF(SUM('別紙様式2-2（４・５月分）'!R278:R280)=0,"",SUM('別紙様式2-2（４・５月分）'!R278:R280))</f>
        <v/>
      </c>
      <c r="P366" s="1380" t="str">
        <f>IFERROR(VLOOKUP('別紙様式2-2（４・５月分）'!AR278,【参考】数式用!$AT$5:$AU$22,2,FALSE),"")</f>
        <v/>
      </c>
      <c r="Q366" s="1381"/>
      <c r="R366" s="1382"/>
      <c r="S366" s="1392" t="str">
        <f>IFERROR(VLOOKUP(K366,【参考】数式用!$A$5:$AB$27,MATCH(P366,【参考】数式用!$B$4:$AB$4,0)+1,0),"")</f>
        <v/>
      </c>
      <c r="T366" s="1413" t="s">
        <v>2173</v>
      </c>
      <c r="U366" s="1415"/>
      <c r="V366" s="1457" t="str">
        <f>IFERROR(VLOOKUP(K366,【参考】数式用!$A$5:$AB$27,MATCH(U366,【参考】数式用!$B$4:$AB$4,0)+1,0),"")</f>
        <v/>
      </c>
      <c r="W366" s="1350" t="s">
        <v>19</v>
      </c>
      <c r="X366" s="1352">
        <v>6</v>
      </c>
      <c r="Y366" s="1354" t="s">
        <v>10</v>
      </c>
      <c r="Z366" s="1352">
        <v>6</v>
      </c>
      <c r="AA366" s="1354" t="s">
        <v>45</v>
      </c>
      <c r="AB366" s="1352">
        <v>7</v>
      </c>
      <c r="AC366" s="1354" t="s">
        <v>10</v>
      </c>
      <c r="AD366" s="1352">
        <v>3</v>
      </c>
      <c r="AE366" s="1354" t="s">
        <v>13</v>
      </c>
      <c r="AF366" s="1354" t="s">
        <v>24</v>
      </c>
      <c r="AG366" s="1354">
        <f>IF(X366&gt;=1,(AB366*12+AD366)-(X366*12+Z366)+1,"")</f>
        <v>10</v>
      </c>
      <c r="AH366" s="1360" t="s">
        <v>38</v>
      </c>
      <c r="AI366" s="1481" t="str">
        <f>IFERROR(ROUNDDOWN(ROUND(L366*V366,0)*M366,0)*AG366,"")</f>
        <v/>
      </c>
      <c r="AJ366" s="1483" t="str">
        <f>IFERROR(ROUNDDOWN(ROUND((L366*(V366-AX366)),0)*M366,0)*AG366,"")</f>
        <v/>
      </c>
      <c r="AK366" s="1485">
        <f>IFERROR(IF(OR(N366="",N367="",N369=""),0,ROUNDDOWN(ROUNDDOWN(ROUND(L366*VLOOKUP(K366,【参考】数式用!$A$5:$AB$27,MATCH("新加算Ⅳ",【参考】数式用!$B$4:$AB$4,0)+1,0),0)*M366,0)*AG366*0.5,0)),"")</f>
        <v>0</v>
      </c>
      <c r="AL366" s="1433"/>
      <c r="AM366" s="1487">
        <f>IFERROR(IF(OR(N369="ベア加算",N369=""),0, IF(OR(U366="新加算Ⅰ",U366="新加算Ⅱ",U366="新加算Ⅲ",U366="新加算Ⅳ"),ROUNDDOWN(ROUND(L366*VLOOKUP(K366,【参考】数式用!$A$5:$I$27,MATCH("ベア加算",【参考】数式用!$B$4:$I$4,0)+1,0),0)*M366,0)*AG366,0)),"")</f>
        <v>0</v>
      </c>
      <c r="AN366" s="1502"/>
      <c r="AO366" s="1364"/>
      <c r="AP366" s="1403"/>
      <c r="AQ366" s="1403"/>
      <c r="AR366" s="1489"/>
      <c r="AS366" s="1491"/>
      <c r="AT366" s="556" t="str">
        <f t="shared" si="335"/>
        <v/>
      </c>
      <c r="AU366" s="651"/>
      <c r="AV366" s="1493" t="str">
        <f>IF(K366&lt;&gt;"","V列に色付け","")</f>
        <v/>
      </c>
      <c r="AW366" s="652" t="str">
        <f>IF('別紙様式2-2（４・５月分）'!O278="","",'別紙様式2-2（４・５月分）'!O278)</f>
        <v/>
      </c>
      <c r="AX366" s="1507" t="str">
        <f>IF(SUM('別紙様式2-2（４・５月分）'!P278:P280)=0,"",SUM('別紙様式2-2（４・５月分）'!P278:P280))</f>
        <v/>
      </c>
      <c r="AY366" s="1506" t="str">
        <f>IFERROR(VLOOKUP(K366,【参考】数式用!$AJ$2:$AK$24,2,FALSE),"")</f>
        <v/>
      </c>
      <c r="AZ366" s="1321" t="s">
        <v>2098</v>
      </c>
      <c r="BA366" s="1321" t="s">
        <v>2099</v>
      </c>
      <c r="BB366" s="1321" t="s">
        <v>2100</v>
      </c>
      <c r="BC366" s="1321" t="s">
        <v>2101</v>
      </c>
      <c r="BD366" s="1321" t="str">
        <f>IF(AND(P366&lt;&gt;"新加算Ⅰ",P366&lt;&gt;"新加算Ⅱ",P366&lt;&gt;"新加算Ⅲ",P366&lt;&gt;"新加算Ⅳ"),P366,IF(Q368&lt;&gt;"",Q368,""))</f>
        <v/>
      </c>
      <c r="BE366" s="1321"/>
      <c r="BF366" s="1321" t="str">
        <f t="shared" ref="BF366" si="366">IF(AM366&lt;&gt;0,IF(AN366="○","入力済","未入力"),"")</f>
        <v/>
      </c>
      <c r="BG366" s="1321"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321" t="str">
        <f>IF(OR(U366="新加算Ⅴ（７）",U366="新加算Ⅴ（９）",U366="新加算Ⅴ（10）",U366="新加算Ⅴ（12）",U366="新加算Ⅴ（13）",U366="新加算Ⅴ（14）"),IF(OR(AP366="○",AP366="令和６年度中に満たす"),"入力済","未入力"),"")</f>
        <v/>
      </c>
      <c r="BI366" s="1321" t="str">
        <f>IF(OR(U366="新加算Ⅰ",U366="新加算Ⅱ",U366="新加算Ⅲ",U366="新加算Ⅴ（１）",U366="新加算Ⅴ（３）",U366="新加算Ⅴ（８）"),IF(OR(AQ366="○",AQ366="令和６年度中に満たす"),"入力済","未入力"),"")</f>
        <v/>
      </c>
      <c r="BJ366" s="1512"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493" t="str">
        <f>IF(OR(U366="新加算Ⅰ",U366="新加算Ⅴ（１）",U366="新加算Ⅴ（２）",U366="新加算Ⅴ（５）",U366="新加算Ⅴ（７）",U366="新加算Ⅴ（10）"),IF(AS366="","未入力","入力済"),"")</f>
        <v/>
      </c>
      <c r="BL366" s="543" t="str">
        <f>G366</f>
        <v/>
      </c>
    </row>
    <row r="367" spans="1:64" ht="15" customHeight="1">
      <c r="A367" s="1226"/>
      <c r="B367" s="1272"/>
      <c r="C367" s="1261"/>
      <c r="D367" s="1261"/>
      <c r="E367" s="1261"/>
      <c r="F367" s="1262"/>
      <c r="G367" s="1266"/>
      <c r="H367" s="1266"/>
      <c r="I367" s="1266"/>
      <c r="J367" s="1372"/>
      <c r="K367" s="1266"/>
      <c r="L367" s="1247"/>
      <c r="M367" s="1250"/>
      <c r="N367" s="1370" t="str">
        <f>IF('別紙様式2-2（４・５月分）'!Q279="","",'別紙様式2-2（４・５月分）'!Q279)</f>
        <v/>
      </c>
      <c r="O367" s="1367"/>
      <c r="P367" s="1383"/>
      <c r="Q367" s="1384"/>
      <c r="R367" s="1385"/>
      <c r="S367" s="1393"/>
      <c r="T367" s="1414"/>
      <c r="U367" s="1416"/>
      <c r="V367" s="1458"/>
      <c r="W367" s="1351"/>
      <c r="X367" s="1353"/>
      <c r="Y367" s="1355"/>
      <c r="Z367" s="1353"/>
      <c r="AA367" s="1355"/>
      <c r="AB367" s="1353"/>
      <c r="AC367" s="1355"/>
      <c r="AD367" s="1353"/>
      <c r="AE367" s="1355"/>
      <c r="AF367" s="1355"/>
      <c r="AG367" s="1355"/>
      <c r="AH367" s="1361"/>
      <c r="AI367" s="1482"/>
      <c r="AJ367" s="1484"/>
      <c r="AK367" s="1486"/>
      <c r="AL367" s="1434"/>
      <c r="AM367" s="1488"/>
      <c r="AN367" s="1503"/>
      <c r="AO367" s="1365"/>
      <c r="AP367" s="1404"/>
      <c r="AQ367" s="1404"/>
      <c r="AR367" s="1490"/>
      <c r="AS367" s="1492"/>
      <c r="AT367" s="1331" t="str">
        <f t="shared" si="337"/>
        <v/>
      </c>
      <c r="AU367" s="651"/>
      <c r="AV367" s="1493"/>
      <c r="AW367" s="1518" t="str">
        <f>IF('別紙様式2-2（４・５月分）'!O279="","",'別紙様式2-2（４・５月分）'!O279)</f>
        <v/>
      </c>
      <c r="AX367" s="1507"/>
      <c r="AY367" s="1506"/>
      <c r="AZ367" s="1321"/>
      <c r="BA367" s="1321"/>
      <c r="BB367" s="1321"/>
      <c r="BC367" s="1321"/>
      <c r="BD367" s="1321"/>
      <c r="BE367" s="1321"/>
      <c r="BF367" s="1321"/>
      <c r="BG367" s="1321"/>
      <c r="BH367" s="1321"/>
      <c r="BI367" s="1321"/>
      <c r="BJ367" s="1512"/>
      <c r="BK367" s="1493"/>
      <c r="BL367" s="543" t="str">
        <f>G366</f>
        <v/>
      </c>
    </row>
    <row r="368" spans="1:64" ht="15" customHeight="1">
      <c r="A368" s="1240"/>
      <c r="B368" s="1272"/>
      <c r="C368" s="1261"/>
      <c r="D368" s="1261"/>
      <c r="E368" s="1261"/>
      <c r="F368" s="1262"/>
      <c r="G368" s="1266"/>
      <c r="H368" s="1266"/>
      <c r="I368" s="1266"/>
      <c r="J368" s="1372"/>
      <c r="K368" s="1266"/>
      <c r="L368" s="1247"/>
      <c r="M368" s="1250"/>
      <c r="N368" s="1371"/>
      <c r="O368" s="1368"/>
      <c r="P368" s="1390" t="s">
        <v>2179</v>
      </c>
      <c r="Q368" s="1386" t="str">
        <f>IFERROR(VLOOKUP('別紙様式2-2（４・５月分）'!AR278,【参考】数式用!$AT$5:$AV$22,3,FALSE),"")</f>
        <v/>
      </c>
      <c r="R368" s="1388" t="s">
        <v>2190</v>
      </c>
      <c r="S368" s="1396" t="str">
        <f>IFERROR(VLOOKUP(K366,【参考】数式用!$A$5:$AB$27,MATCH(Q368,【参考】数式用!$B$4:$AB$4,0)+1,0),"")</f>
        <v/>
      </c>
      <c r="T368" s="1459" t="s">
        <v>217</v>
      </c>
      <c r="U368" s="1461"/>
      <c r="V368" s="1463" t="str">
        <f>IFERROR(VLOOKUP(K366,【参考】数式用!$A$5:$AB$27,MATCH(U368,【参考】数式用!$B$4:$AB$4,0)+1,0),"")</f>
        <v/>
      </c>
      <c r="W368" s="1465" t="s">
        <v>19</v>
      </c>
      <c r="X368" s="1508">
        <v>7</v>
      </c>
      <c r="Y368" s="1407" t="s">
        <v>10</v>
      </c>
      <c r="Z368" s="1508">
        <v>4</v>
      </c>
      <c r="AA368" s="1407" t="s">
        <v>45</v>
      </c>
      <c r="AB368" s="1508">
        <v>8</v>
      </c>
      <c r="AC368" s="1407" t="s">
        <v>10</v>
      </c>
      <c r="AD368" s="1508">
        <v>3</v>
      </c>
      <c r="AE368" s="1407" t="s">
        <v>13</v>
      </c>
      <c r="AF368" s="1407" t="s">
        <v>24</v>
      </c>
      <c r="AG368" s="1407">
        <f>IF(X368&gt;=1,(AB368*12+AD368)-(X368*12+Z368)+1,"")</f>
        <v>12</v>
      </c>
      <c r="AH368" s="1409" t="s">
        <v>38</v>
      </c>
      <c r="AI368" s="1496" t="str">
        <f>IFERROR(ROUNDDOWN(ROUND(L366*V368,0)*M366,0)*AG368,"")</f>
        <v/>
      </c>
      <c r="AJ368" s="1510" t="str">
        <f>IFERROR(ROUNDDOWN(ROUND((L366*(V368-AX366)),0)*M366,0)*AG368,"")</f>
        <v/>
      </c>
      <c r="AK368" s="1494">
        <f>IFERROR(IF(OR(N366="",N367="",N369=""),0,ROUNDDOWN(ROUNDDOWN(ROUND(L366*VLOOKUP(K366,【参考】数式用!$A$5:$AB$27,MATCH("新加算Ⅳ",【参考】数式用!$B$4:$AB$4,0)+1,0),0)*M366,0)*AG368*0.5,0)),"")</f>
        <v>0</v>
      </c>
      <c r="AL368" s="1435" t="str">
        <f t="shared" ref="AL368" si="367">IF(U368&lt;&gt;"","新規に適用","")</f>
        <v/>
      </c>
      <c r="AM368" s="1498">
        <f>IFERROR(IF(OR(N369="ベア加算",N369=""),0, IF(OR(U366="新加算Ⅰ",U366="新加算Ⅱ",U366="新加算Ⅲ",U366="新加算Ⅳ"),0,ROUNDDOWN(ROUND(L366*VLOOKUP(K366,【参考】数式用!$A$5:$I$27,MATCH("ベア加算",【参考】数式用!$B$4:$I$4,0)+1,0),0)*M366,0)*AG368)),"")</f>
        <v>0</v>
      </c>
      <c r="AN368" s="1356" t="str">
        <f t="shared" ref="AN368" si="368">IF(AM368=0,"",IF(AND(U368&lt;&gt;"",AN366=""),"新規に適用",IF(AND(U368&lt;&gt;"",AN366&lt;&gt;""),"継続で適用","")))</f>
        <v/>
      </c>
      <c r="AO368" s="1356" t="str">
        <f>IF(AND(U368&lt;&gt;"",AO366=""),"新規に適用",IF(AND(U368&lt;&gt;"",AO366&lt;&gt;""),"継続で適用",""))</f>
        <v/>
      </c>
      <c r="AP368" s="1358"/>
      <c r="AQ368" s="1356" t="str">
        <f>IF(AND(U368&lt;&gt;"",AQ366=""),"新規に適用",IF(AND(U368&lt;&gt;"",AQ366&lt;&gt;""),"継続で適用",""))</f>
        <v/>
      </c>
      <c r="AR368" s="1344" t="str">
        <f t="shared" si="360"/>
        <v/>
      </c>
      <c r="AS368" s="1356" t="str">
        <f>IF(AND(U368&lt;&gt;"",AS366=""),"新規に適用",IF(AND(U368&lt;&gt;"",AS366&lt;&gt;""),"継続で適用",""))</f>
        <v/>
      </c>
      <c r="AT368" s="1331"/>
      <c r="AU368" s="651"/>
      <c r="AV368" s="1493" t="str">
        <f>IF(K366&lt;&gt;"","V列に色付け","")</f>
        <v/>
      </c>
      <c r="AW368" s="1518"/>
      <c r="AX368" s="1507"/>
      <c r="AY368" s="163"/>
      <c r="AZ368" s="163"/>
      <c r="BA368" s="163"/>
      <c r="BB368" s="163"/>
      <c r="BC368" s="163"/>
      <c r="BD368" s="163"/>
      <c r="BE368" s="163"/>
      <c r="BF368" s="163"/>
      <c r="BG368" s="163"/>
      <c r="BH368" s="163"/>
      <c r="BI368" s="163"/>
      <c r="BJ368" s="163"/>
      <c r="BK368" s="163"/>
      <c r="BL368" s="543" t="str">
        <f>G366</f>
        <v/>
      </c>
    </row>
    <row r="369" spans="1:64" ht="30" customHeight="1" thickBot="1">
      <c r="A369" s="1227"/>
      <c r="B369" s="1376"/>
      <c r="C369" s="1377"/>
      <c r="D369" s="1377"/>
      <c r="E369" s="1377"/>
      <c r="F369" s="1378"/>
      <c r="G369" s="1267"/>
      <c r="H369" s="1267"/>
      <c r="I369" s="1267"/>
      <c r="J369" s="1373"/>
      <c r="K369" s="1267"/>
      <c r="L369" s="1248"/>
      <c r="M369" s="1251"/>
      <c r="N369" s="650" t="str">
        <f>IF('別紙様式2-2（４・５月分）'!Q280="","",'別紙様式2-2（４・５月分）'!Q280)</f>
        <v/>
      </c>
      <c r="O369" s="1369"/>
      <c r="P369" s="1391"/>
      <c r="Q369" s="1387"/>
      <c r="R369" s="1389"/>
      <c r="S369" s="1395"/>
      <c r="T369" s="1460"/>
      <c r="U369" s="1462"/>
      <c r="V369" s="1464"/>
      <c r="W369" s="1466"/>
      <c r="X369" s="1509"/>
      <c r="Y369" s="1408"/>
      <c r="Z369" s="1509"/>
      <c r="AA369" s="1408"/>
      <c r="AB369" s="1509"/>
      <c r="AC369" s="1408"/>
      <c r="AD369" s="1509"/>
      <c r="AE369" s="1408"/>
      <c r="AF369" s="1408"/>
      <c r="AG369" s="1408"/>
      <c r="AH369" s="1410"/>
      <c r="AI369" s="1497"/>
      <c r="AJ369" s="1511"/>
      <c r="AK369" s="1495"/>
      <c r="AL369" s="1436"/>
      <c r="AM369" s="1499"/>
      <c r="AN369" s="1357"/>
      <c r="AO369" s="1357"/>
      <c r="AP369" s="1359"/>
      <c r="AQ369" s="1357"/>
      <c r="AR369" s="1345"/>
      <c r="AS369" s="1357"/>
      <c r="AT369" s="581" t="str">
        <f t="shared" ref="AT369" si="369">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51"/>
      <c r="AV369" s="1493"/>
      <c r="AW369" s="652" t="str">
        <f>IF('別紙様式2-2（４・５月分）'!O280="","",'別紙様式2-2（４・５月分）'!O280)</f>
        <v/>
      </c>
      <c r="AX369" s="1507"/>
      <c r="AY369" s="163"/>
      <c r="AZ369" s="163"/>
      <c r="BA369" s="163"/>
      <c r="BB369" s="163"/>
      <c r="BC369" s="163"/>
      <c r="BD369" s="163"/>
      <c r="BE369" s="163"/>
      <c r="BF369" s="163"/>
      <c r="BG369" s="163"/>
      <c r="BH369" s="163"/>
      <c r="BI369" s="163"/>
      <c r="BJ369" s="163"/>
      <c r="BK369" s="163"/>
      <c r="BL369" s="543" t="str">
        <f>G366</f>
        <v/>
      </c>
    </row>
    <row r="370" spans="1:64" ht="30" customHeight="1">
      <c r="A370" s="1241">
        <v>90</v>
      </c>
      <c r="B370" s="1272" t="str">
        <f>IF(基本情報入力シート!C143="","",基本情報入力シート!C143)</f>
        <v/>
      </c>
      <c r="C370" s="1261"/>
      <c r="D370" s="1261"/>
      <c r="E370" s="1261"/>
      <c r="F370" s="1262"/>
      <c r="G370" s="1266" t="str">
        <f>IF(基本情報入力シート!M143="","",基本情報入力シート!M143)</f>
        <v/>
      </c>
      <c r="H370" s="1266" t="str">
        <f>IF(基本情報入力シート!R143="","",基本情報入力シート!R143)</f>
        <v/>
      </c>
      <c r="I370" s="1266" t="str">
        <f>IF(基本情報入力シート!W143="","",基本情報入力シート!W143)</f>
        <v/>
      </c>
      <c r="J370" s="1372" t="str">
        <f>IF(基本情報入力シート!X143="","",基本情報入力シート!X143)</f>
        <v/>
      </c>
      <c r="K370" s="1266" t="str">
        <f>IF(基本情報入力シート!Y143="","",基本情報入力シート!Y143)</f>
        <v/>
      </c>
      <c r="L370" s="1247" t="str">
        <f>IF(基本情報入力シート!AB143="","",基本情報入力シート!AB143)</f>
        <v/>
      </c>
      <c r="M370" s="1374" t="str">
        <f>IF(基本情報入力シート!AC143="","",基本情報入力シート!AC143)</f>
        <v/>
      </c>
      <c r="N370" s="647" t="str">
        <f>IF('別紙様式2-2（４・５月分）'!Q281="","",'別紙様式2-2（４・５月分）'!Q281)</f>
        <v/>
      </c>
      <c r="O370" s="1366" t="str">
        <f>IF(SUM('別紙様式2-2（４・５月分）'!R281:R283)=0,"",SUM('別紙様式2-2（４・５月分）'!R281:R283))</f>
        <v/>
      </c>
      <c r="P370" s="1380" t="str">
        <f>IFERROR(VLOOKUP('別紙様式2-2（４・５月分）'!AR281,【参考】数式用!$AT$5:$AU$22,2,FALSE),"")</f>
        <v/>
      </c>
      <c r="Q370" s="1381"/>
      <c r="R370" s="1382"/>
      <c r="S370" s="1392" t="str">
        <f>IFERROR(VLOOKUP(K370,【参考】数式用!$A$5:$AB$27,MATCH(P370,【参考】数式用!$B$4:$AB$4,0)+1,0),"")</f>
        <v/>
      </c>
      <c r="T370" s="1413" t="s">
        <v>2173</v>
      </c>
      <c r="U370" s="1415"/>
      <c r="V370" s="1457" t="str">
        <f>IFERROR(VLOOKUP(K370,【参考】数式用!$A$5:$AB$27,MATCH(U370,【参考】数式用!$B$4:$AB$4,0)+1,0),"")</f>
        <v/>
      </c>
      <c r="W370" s="1350" t="s">
        <v>19</v>
      </c>
      <c r="X370" s="1352">
        <v>6</v>
      </c>
      <c r="Y370" s="1354" t="s">
        <v>10</v>
      </c>
      <c r="Z370" s="1352">
        <v>6</v>
      </c>
      <c r="AA370" s="1354" t="s">
        <v>45</v>
      </c>
      <c r="AB370" s="1352">
        <v>7</v>
      </c>
      <c r="AC370" s="1354" t="s">
        <v>10</v>
      </c>
      <c r="AD370" s="1352">
        <v>3</v>
      </c>
      <c r="AE370" s="1354" t="s">
        <v>13</v>
      </c>
      <c r="AF370" s="1354" t="s">
        <v>24</v>
      </c>
      <c r="AG370" s="1354">
        <f>IF(X370&gt;=1,(AB370*12+AD370)-(X370*12+Z370)+1,"")</f>
        <v>10</v>
      </c>
      <c r="AH370" s="1360" t="s">
        <v>38</v>
      </c>
      <c r="AI370" s="1481" t="str">
        <f>IFERROR(ROUNDDOWN(ROUND(L370*V370,0)*M370,0)*AG370,"")</f>
        <v/>
      </c>
      <c r="AJ370" s="1483" t="str">
        <f>IFERROR(ROUNDDOWN(ROUND((L370*(V370-AX370)),0)*M370,0)*AG370,"")</f>
        <v/>
      </c>
      <c r="AK370" s="1485">
        <f>IFERROR(IF(OR(N370="",N371="",N373=""),0,ROUNDDOWN(ROUNDDOWN(ROUND(L370*VLOOKUP(K370,【参考】数式用!$A$5:$AB$27,MATCH("新加算Ⅳ",【参考】数式用!$B$4:$AB$4,0)+1,0),0)*M370,0)*AG370*0.5,0)),"")</f>
        <v>0</v>
      </c>
      <c r="AL370" s="1433"/>
      <c r="AM370" s="1487">
        <f>IFERROR(IF(OR(N373="ベア加算",N373=""),0, IF(OR(U370="新加算Ⅰ",U370="新加算Ⅱ",U370="新加算Ⅲ",U370="新加算Ⅳ"),ROUNDDOWN(ROUND(L370*VLOOKUP(K370,【参考】数式用!$A$5:$I$27,MATCH("ベア加算",【参考】数式用!$B$4:$I$4,0)+1,0),0)*M370,0)*AG370,0)),"")</f>
        <v>0</v>
      </c>
      <c r="AN370" s="1502"/>
      <c r="AO370" s="1364"/>
      <c r="AP370" s="1403"/>
      <c r="AQ370" s="1403"/>
      <c r="AR370" s="1489"/>
      <c r="AS370" s="1491"/>
      <c r="AT370" s="556" t="str">
        <f t="shared" si="335"/>
        <v/>
      </c>
      <c r="AU370" s="651"/>
      <c r="AV370" s="1493" t="str">
        <f>IF(K370&lt;&gt;"","V列に色付け","")</f>
        <v/>
      </c>
      <c r="AW370" s="652" t="str">
        <f>IF('別紙様式2-2（４・５月分）'!O281="","",'別紙様式2-2（４・５月分）'!O281)</f>
        <v/>
      </c>
      <c r="AX370" s="1507" t="str">
        <f>IF(SUM('別紙様式2-2（４・５月分）'!P281:P283)=0,"",SUM('別紙様式2-2（４・５月分）'!P281:P283))</f>
        <v/>
      </c>
      <c r="AY370" s="1506" t="str">
        <f>IFERROR(VLOOKUP(K370,【参考】数式用!$AJ$2:$AK$24,2,FALSE),"")</f>
        <v/>
      </c>
      <c r="AZ370" s="1321" t="s">
        <v>2098</v>
      </c>
      <c r="BA370" s="1321" t="s">
        <v>2099</v>
      </c>
      <c r="BB370" s="1321" t="s">
        <v>2100</v>
      </c>
      <c r="BC370" s="1321" t="s">
        <v>2101</v>
      </c>
      <c r="BD370" s="1321" t="str">
        <f>IF(AND(P370&lt;&gt;"新加算Ⅰ",P370&lt;&gt;"新加算Ⅱ",P370&lt;&gt;"新加算Ⅲ",P370&lt;&gt;"新加算Ⅳ"),P370,IF(Q372&lt;&gt;"",Q372,""))</f>
        <v/>
      </c>
      <c r="BE370" s="1321"/>
      <c r="BF370" s="1321" t="str">
        <f t="shared" ref="BF370" si="370">IF(AM370&lt;&gt;0,IF(AN370="○","入力済","未入力"),"")</f>
        <v/>
      </c>
      <c r="BG370" s="1321"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321" t="str">
        <f>IF(OR(U370="新加算Ⅴ（７）",U370="新加算Ⅴ（９）",U370="新加算Ⅴ（10）",U370="新加算Ⅴ（12）",U370="新加算Ⅴ（13）",U370="新加算Ⅴ（14）"),IF(OR(AP370="○",AP370="令和６年度中に満たす"),"入力済","未入力"),"")</f>
        <v/>
      </c>
      <c r="BI370" s="1321" t="str">
        <f>IF(OR(U370="新加算Ⅰ",U370="新加算Ⅱ",U370="新加算Ⅲ",U370="新加算Ⅴ（１）",U370="新加算Ⅴ（３）",U370="新加算Ⅴ（８）"),IF(OR(AQ370="○",AQ370="令和６年度中に満たす"),"入力済","未入力"),"")</f>
        <v/>
      </c>
      <c r="BJ370" s="1512"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493" t="str">
        <f>IF(OR(U370="新加算Ⅰ",U370="新加算Ⅴ（１）",U370="新加算Ⅴ（２）",U370="新加算Ⅴ（５）",U370="新加算Ⅴ（７）",U370="新加算Ⅴ（10）"),IF(AS370="","未入力","入力済"),"")</f>
        <v/>
      </c>
      <c r="BL370" s="543" t="str">
        <f>G370</f>
        <v/>
      </c>
    </row>
    <row r="371" spans="1:64" ht="15" customHeight="1">
      <c r="A371" s="1226"/>
      <c r="B371" s="1272"/>
      <c r="C371" s="1261"/>
      <c r="D371" s="1261"/>
      <c r="E371" s="1261"/>
      <c r="F371" s="1262"/>
      <c r="G371" s="1266"/>
      <c r="H371" s="1266"/>
      <c r="I371" s="1266"/>
      <c r="J371" s="1372"/>
      <c r="K371" s="1266"/>
      <c r="L371" s="1247"/>
      <c r="M371" s="1374"/>
      <c r="N371" s="1370" t="str">
        <f>IF('別紙様式2-2（４・５月分）'!Q282="","",'別紙様式2-2（４・５月分）'!Q282)</f>
        <v/>
      </c>
      <c r="O371" s="1367"/>
      <c r="P371" s="1383"/>
      <c r="Q371" s="1384"/>
      <c r="R371" s="1385"/>
      <c r="S371" s="1393"/>
      <c r="T371" s="1414"/>
      <c r="U371" s="1416"/>
      <c r="V371" s="1458"/>
      <c r="W371" s="1351"/>
      <c r="X371" s="1353"/>
      <c r="Y371" s="1355"/>
      <c r="Z371" s="1353"/>
      <c r="AA371" s="1355"/>
      <c r="AB371" s="1353"/>
      <c r="AC371" s="1355"/>
      <c r="AD371" s="1353"/>
      <c r="AE371" s="1355"/>
      <c r="AF371" s="1355"/>
      <c r="AG371" s="1355"/>
      <c r="AH371" s="1361"/>
      <c r="AI371" s="1482"/>
      <c r="AJ371" s="1484"/>
      <c r="AK371" s="1486"/>
      <c r="AL371" s="1434"/>
      <c r="AM371" s="1488"/>
      <c r="AN371" s="1503"/>
      <c r="AO371" s="1365"/>
      <c r="AP371" s="1404"/>
      <c r="AQ371" s="1404"/>
      <c r="AR371" s="1490"/>
      <c r="AS371" s="1492"/>
      <c r="AT371" s="1331" t="str">
        <f t="shared" si="337"/>
        <v/>
      </c>
      <c r="AU371" s="651"/>
      <c r="AV371" s="1493"/>
      <c r="AW371" s="1518" t="str">
        <f>IF('別紙様式2-2（４・５月分）'!O282="","",'別紙様式2-2（４・５月分）'!O282)</f>
        <v/>
      </c>
      <c r="AX371" s="1507"/>
      <c r="AY371" s="1506"/>
      <c r="AZ371" s="1321"/>
      <c r="BA371" s="1321"/>
      <c r="BB371" s="1321"/>
      <c r="BC371" s="1321"/>
      <c r="BD371" s="1321"/>
      <c r="BE371" s="1321"/>
      <c r="BF371" s="1321"/>
      <c r="BG371" s="1321"/>
      <c r="BH371" s="1321"/>
      <c r="BI371" s="1321"/>
      <c r="BJ371" s="1512"/>
      <c r="BK371" s="1493"/>
      <c r="BL371" s="543" t="str">
        <f>G370</f>
        <v/>
      </c>
    </row>
    <row r="372" spans="1:64" ht="15" customHeight="1">
      <c r="A372" s="1240"/>
      <c r="B372" s="1272"/>
      <c r="C372" s="1261"/>
      <c r="D372" s="1261"/>
      <c r="E372" s="1261"/>
      <c r="F372" s="1262"/>
      <c r="G372" s="1266"/>
      <c r="H372" s="1266"/>
      <c r="I372" s="1266"/>
      <c r="J372" s="1372"/>
      <c r="K372" s="1266"/>
      <c r="L372" s="1247"/>
      <c r="M372" s="1374"/>
      <c r="N372" s="1371"/>
      <c r="O372" s="1368"/>
      <c r="P372" s="1390" t="s">
        <v>2179</v>
      </c>
      <c r="Q372" s="1386" t="str">
        <f>IFERROR(VLOOKUP('別紙様式2-2（４・５月分）'!AR281,【参考】数式用!$AT$5:$AV$22,3,FALSE),"")</f>
        <v/>
      </c>
      <c r="R372" s="1388" t="s">
        <v>2190</v>
      </c>
      <c r="S372" s="1394" t="str">
        <f>IFERROR(VLOOKUP(K370,【参考】数式用!$A$5:$AB$27,MATCH(Q372,【参考】数式用!$B$4:$AB$4,0)+1,0),"")</f>
        <v/>
      </c>
      <c r="T372" s="1459" t="s">
        <v>217</v>
      </c>
      <c r="U372" s="1461"/>
      <c r="V372" s="1463" t="str">
        <f>IFERROR(VLOOKUP(K370,【参考】数式用!$A$5:$AB$27,MATCH(U372,【参考】数式用!$B$4:$AB$4,0)+1,0),"")</f>
        <v/>
      </c>
      <c r="W372" s="1465" t="s">
        <v>19</v>
      </c>
      <c r="X372" s="1508">
        <v>7</v>
      </c>
      <c r="Y372" s="1407" t="s">
        <v>10</v>
      </c>
      <c r="Z372" s="1508">
        <v>4</v>
      </c>
      <c r="AA372" s="1407" t="s">
        <v>45</v>
      </c>
      <c r="AB372" s="1508">
        <v>8</v>
      </c>
      <c r="AC372" s="1407" t="s">
        <v>10</v>
      </c>
      <c r="AD372" s="1508">
        <v>3</v>
      </c>
      <c r="AE372" s="1407" t="s">
        <v>13</v>
      </c>
      <c r="AF372" s="1407" t="s">
        <v>24</v>
      </c>
      <c r="AG372" s="1407">
        <f>IF(X372&gt;=1,(AB372*12+AD372)-(X372*12+Z372)+1,"")</f>
        <v>12</v>
      </c>
      <c r="AH372" s="1409" t="s">
        <v>38</v>
      </c>
      <c r="AI372" s="1496" t="str">
        <f>IFERROR(ROUNDDOWN(ROUND(L370*V372,0)*M370,0)*AG372,"")</f>
        <v/>
      </c>
      <c r="AJ372" s="1510" t="str">
        <f>IFERROR(ROUNDDOWN(ROUND((L370*(V372-AX370)),0)*M370,0)*AG372,"")</f>
        <v/>
      </c>
      <c r="AK372" s="1494">
        <f>IFERROR(IF(OR(N370="",N371="",N373=""),0,ROUNDDOWN(ROUNDDOWN(ROUND(L370*VLOOKUP(K370,【参考】数式用!$A$5:$AB$27,MATCH("新加算Ⅳ",【参考】数式用!$B$4:$AB$4,0)+1,0),0)*M370,0)*AG372*0.5,0)),"")</f>
        <v>0</v>
      </c>
      <c r="AL372" s="1435" t="str">
        <f t="shared" ref="AL372" si="371">IF(U372&lt;&gt;"","新規に適用","")</f>
        <v/>
      </c>
      <c r="AM372" s="1498">
        <f>IFERROR(IF(OR(N373="ベア加算",N373=""),0, IF(OR(U370="新加算Ⅰ",U370="新加算Ⅱ",U370="新加算Ⅲ",U370="新加算Ⅳ"),0,ROUNDDOWN(ROUND(L370*VLOOKUP(K370,【参考】数式用!$A$5:$I$27,MATCH("ベア加算",【参考】数式用!$B$4:$I$4,0)+1,0),0)*M370,0)*AG372)),"")</f>
        <v>0</v>
      </c>
      <c r="AN372" s="1356" t="str">
        <f t="shared" ref="AN372" si="372">IF(AM372=0,"",IF(AND(U372&lt;&gt;"",AN370=""),"新規に適用",IF(AND(U372&lt;&gt;"",AN370&lt;&gt;""),"継続で適用","")))</f>
        <v/>
      </c>
      <c r="AO372" s="1356" t="str">
        <f>IF(AND(U372&lt;&gt;"",AO370=""),"新規に適用",IF(AND(U372&lt;&gt;"",AO370&lt;&gt;""),"継続で適用",""))</f>
        <v/>
      </c>
      <c r="AP372" s="1358"/>
      <c r="AQ372" s="1356" t="str">
        <f>IF(AND(U372&lt;&gt;"",AQ370=""),"新規に適用",IF(AND(U372&lt;&gt;"",AQ370&lt;&gt;""),"継続で適用",""))</f>
        <v/>
      </c>
      <c r="AR372" s="1344" t="str">
        <f t="shared" si="360"/>
        <v/>
      </c>
      <c r="AS372" s="1356" t="str">
        <f>IF(AND(U372&lt;&gt;"",AS370=""),"新規に適用",IF(AND(U372&lt;&gt;"",AS370&lt;&gt;""),"継続で適用",""))</f>
        <v/>
      </c>
      <c r="AT372" s="1331"/>
      <c r="AU372" s="651"/>
      <c r="AV372" s="1493" t="str">
        <f>IF(K370&lt;&gt;"","V列に色付け","")</f>
        <v/>
      </c>
      <c r="AW372" s="1518"/>
      <c r="AX372" s="1507"/>
      <c r="AY372" s="163"/>
      <c r="AZ372" s="163"/>
      <c r="BA372" s="163"/>
      <c r="BB372" s="163"/>
      <c r="BC372" s="163"/>
      <c r="BD372" s="163"/>
      <c r="BE372" s="163"/>
      <c r="BF372" s="163"/>
      <c r="BG372" s="163"/>
      <c r="BH372" s="163"/>
      <c r="BI372" s="163"/>
      <c r="BJ372" s="163"/>
      <c r="BK372" s="163"/>
      <c r="BL372" s="543" t="str">
        <f>G370</f>
        <v/>
      </c>
    </row>
    <row r="373" spans="1:64" ht="30" customHeight="1" thickBot="1">
      <c r="A373" s="1227"/>
      <c r="B373" s="1376"/>
      <c r="C373" s="1377"/>
      <c r="D373" s="1377"/>
      <c r="E373" s="1377"/>
      <c r="F373" s="1378"/>
      <c r="G373" s="1267"/>
      <c r="H373" s="1267"/>
      <c r="I373" s="1267"/>
      <c r="J373" s="1373"/>
      <c r="K373" s="1267"/>
      <c r="L373" s="1248"/>
      <c r="M373" s="1375"/>
      <c r="N373" s="650" t="str">
        <f>IF('別紙様式2-2（４・５月分）'!Q283="","",'別紙様式2-2（４・５月分）'!Q283)</f>
        <v/>
      </c>
      <c r="O373" s="1369"/>
      <c r="P373" s="1391"/>
      <c r="Q373" s="1387"/>
      <c r="R373" s="1389"/>
      <c r="S373" s="1395"/>
      <c r="T373" s="1460"/>
      <c r="U373" s="1462"/>
      <c r="V373" s="1464"/>
      <c r="W373" s="1466"/>
      <c r="X373" s="1509"/>
      <c r="Y373" s="1408"/>
      <c r="Z373" s="1509"/>
      <c r="AA373" s="1408"/>
      <c r="AB373" s="1509"/>
      <c r="AC373" s="1408"/>
      <c r="AD373" s="1509"/>
      <c r="AE373" s="1408"/>
      <c r="AF373" s="1408"/>
      <c r="AG373" s="1408"/>
      <c r="AH373" s="1410"/>
      <c r="AI373" s="1497"/>
      <c r="AJ373" s="1511"/>
      <c r="AK373" s="1495"/>
      <c r="AL373" s="1436"/>
      <c r="AM373" s="1499"/>
      <c r="AN373" s="1357"/>
      <c r="AO373" s="1357"/>
      <c r="AP373" s="1359"/>
      <c r="AQ373" s="1357"/>
      <c r="AR373" s="1345"/>
      <c r="AS373" s="1357"/>
      <c r="AT373" s="581" t="str">
        <f t="shared" ref="AT373" si="373">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51"/>
      <c r="AV373" s="1493"/>
      <c r="AW373" s="652" t="str">
        <f>IF('別紙様式2-2（４・５月分）'!O283="","",'別紙様式2-2（４・５月分）'!O283)</f>
        <v/>
      </c>
      <c r="AX373" s="1507"/>
      <c r="AY373" s="163"/>
      <c r="AZ373" s="163"/>
      <c r="BA373" s="163"/>
      <c r="BB373" s="163"/>
      <c r="BC373" s="163"/>
      <c r="BD373" s="163"/>
      <c r="BE373" s="163"/>
      <c r="BF373" s="163"/>
      <c r="BG373" s="163"/>
      <c r="BH373" s="163"/>
      <c r="BI373" s="163"/>
      <c r="BJ373" s="163"/>
      <c r="BK373" s="163"/>
      <c r="BL373" s="543" t="str">
        <f>G370</f>
        <v/>
      </c>
    </row>
    <row r="374" spans="1:64" ht="30" customHeight="1">
      <c r="A374" s="1225">
        <v>91</v>
      </c>
      <c r="B374" s="1272" t="str">
        <f>IF(基本情報入力シート!C144="","",基本情報入力シート!C144)</f>
        <v/>
      </c>
      <c r="C374" s="1261"/>
      <c r="D374" s="1261"/>
      <c r="E374" s="1261"/>
      <c r="F374" s="1262"/>
      <c r="G374" s="1266" t="str">
        <f>IF(基本情報入力シート!M144="","",基本情報入力シート!M144)</f>
        <v/>
      </c>
      <c r="H374" s="1266" t="str">
        <f>IF(基本情報入力シート!R144="","",基本情報入力シート!R144)</f>
        <v/>
      </c>
      <c r="I374" s="1266" t="str">
        <f>IF(基本情報入力シート!W144="","",基本情報入力シート!W144)</f>
        <v/>
      </c>
      <c r="J374" s="1372" t="str">
        <f>IF(基本情報入力シート!X144="","",基本情報入力シート!X144)</f>
        <v/>
      </c>
      <c r="K374" s="1266" t="str">
        <f>IF(基本情報入力シート!Y144="","",基本情報入力シート!Y144)</f>
        <v/>
      </c>
      <c r="L374" s="1247" t="str">
        <f>IF(基本情報入力シート!AB144="","",基本情報入力シート!AB144)</f>
        <v/>
      </c>
      <c r="M374" s="1374" t="str">
        <f>IF(基本情報入力シート!AC144="","",基本情報入力シート!AC144)</f>
        <v/>
      </c>
      <c r="N374" s="647" t="str">
        <f>IF('別紙様式2-2（４・５月分）'!Q284="","",'別紙様式2-2（４・５月分）'!Q284)</f>
        <v/>
      </c>
      <c r="O374" s="1366" t="str">
        <f>IF(SUM('別紙様式2-2（４・５月分）'!R284:R286)=0,"",SUM('別紙様式2-2（４・５月分）'!R284:R286))</f>
        <v/>
      </c>
      <c r="P374" s="1380" t="str">
        <f>IFERROR(VLOOKUP('別紙様式2-2（４・５月分）'!AR284,【参考】数式用!$AT$5:$AU$22,2,FALSE),"")</f>
        <v/>
      </c>
      <c r="Q374" s="1381"/>
      <c r="R374" s="1382"/>
      <c r="S374" s="1392" t="str">
        <f>IFERROR(VLOOKUP(K374,【参考】数式用!$A$5:$AB$27,MATCH(P374,【参考】数式用!$B$4:$AB$4,0)+1,0),"")</f>
        <v/>
      </c>
      <c r="T374" s="1413" t="s">
        <v>2173</v>
      </c>
      <c r="U374" s="1415"/>
      <c r="V374" s="1457" t="str">
        <f>IFERROR(VLOOKUP(K374,【参考】数式用!$A$5:$AB$27,MATCH(U374,【参考】数式用!$B$4:$AB$4,0)+1,0),"")</f>
        <v/>
      </c>
      <c r="W374" s="1350" t="s">
        <v>19</v>
      </c>
      <c r="X374" s="1352">
        <v>6</v>
      </c>
      <c r="Y374" s="1354" t="s">
        <v>10</v>
      </c>
      <c r="Z374" s="1352">
        <v>6</v>
      </c>
      <c r="AA374" s="1354" t="s">
        <v>45</v>
      </c>
      <c r="AB374" s="1352">
        <v>7</v>
      </c>
      <c r="AC374" s="1354" t="s">
        <v>10</v>
      </c>
      <c r="AD374" s="1352">
        <v>3</v>
      </c>
      <c r="AE374" s="1354" t="s">
        <v>13</v>
      </c>
      <c r="AF374" s="1354" t="s">
        <v>24</v>
      </c>
      <c r="AG374" s="1354">
        <f>IF(X374&gt;=1,(AB374*12+AD374)-(X374*12+Z374)+1,"")</f>
        <v>10</v>
      </c>
      <c r="AH374" s="1360" t="s">
        <v>38</v>
      </c>
      <c r="AI374" s="1481" t="str">
        <f>IFERROR(ROUNDDOWN(ROUND(L374*V374,0)*M374,0)*AG374,"")</f>
        <v/>
      </c>
      <c r="AJ374" s="1483" t="str">
        <f>IFERROR(ROUNDDOWN(ROUND((L374*(V374-AX374)),0)*M374,0)*AG374,"")</f>
        <v/>
      </c>
      <c r="AK374" s="1485">
        <f>IFERROR(IF(OR(N374="",N375="",N377=""),0,ROUNDDOWN(ROUNDDOWN(ROUND(L374*VLOOKUP(K374,【参考】数式用!$A$5:$AB$27,MATCH("新加算Ⅳ",【参考】数式用!$B$4:$AB$4,0)+1,0),0)*M374,0)*AG374*0.5,0)),"")</f>
        <v>0</v>
      </c>
      <c r="AL374" s="1433"/>
      <c r="AM374" s="1487">
        <f>IFERROR(IF(OR(N377="ベア加算",N377=""),0, IF(OR(U374="新加算Ⅰ",U374="新加算Ⅱ",U374="新加算Ⅲ",U374="新加算Ⅳ"),ROUNDDOWN(ROUND(L374*VLOOKUP(K374,【参考】数式用!$A$5:$I$27,MATCH("ベア加算",【参考】数式用!$B$4:$I$4,0)+1,0),0)*M374,0)*AG374,0)),"")</f>
        <v>0</v>
      </c>
      <c r="AN374" s="1502"/>
      <c r="AO374" s="1364"/>
      <c r="AP374" s="1403"/>
      <c r="AQ374" s="1403"/>
      <c r="AR374" s="1489"/>
      <c r="AS374" s="1491"/>
      <c r="AT374" s="556" t="str">
        <f t="shared" si="335"/>
        <v/>
      </c>
      <c r="AU374" s="651"/>
      <c r="AV374" s="1493" t="str">
        <f>IF(K374&lt;&gt;"","V列に色付け","")</f>
        <v/>
      </c>
      <c r="AW374" s="652" t="str">
        <f>IF('別紙様式2-2（４・５月分）'!O284="","",'別紙様式2-2（４・５月分）'!O284)</f>
        <v/>
      </c>
      <c r="AX374" s="1507" t="str">
        <f>IF(SUM('別紙様式2-2（４・５月分）'!P284:P286)=0,"",SUM('別紙様式2-2（４・５月分）'!P284:P286))</f>
        <v/>
      </c>
      <c r="AY374" s="1506" t="str">
        <f>IFERROR(VLOOKUP(K374,【参考】数式用!$AJ$2:$AK$24,2,FALSE),"")</f>
        <v/>
      </c>
      <c r="AZ374" s="1321" t="s">
        <v>2098</v>
      </c>
      <c r="BA374" s="1321" t="s">
        <v>2099</v>
      </c>
      <c r="BB374" s="1321" t="s">
        <v>2100</v>
      </c>
      <c r="BC374" s="1321" t="s">
        <v>2101</v>
      </c>
      <c r="BD374" s="1321" t="str">
        <f>IF(AND(P374&lt;&gt;"新加算Ⅰ",P374&lt;&gt;"新加算Ⅱ",P374&lt;&gt;"新加算Ⅲ",P374&lt;&gt;"新加算Ⅳ"),P374,IF(Q376&lt;&gt;"",Q376,""))</f>
        <v/>
      </c>
      <c r="BE374" s="1321"/>
      <c r="BF374" s="1321" t="str">
        <f t="shared" ref="BF374" si="374">IF(AM374&lt;&gt;0,IF(AN374="○","入力済","未入力"),"")</f>
        <v/>
      </c>
      <c r="BG374" s="1321"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321" t="str">
        <f>IF(OR(U374="新加算Ⅴ（７）",U374="新加算Ⅴ（９）",U374="新加算Ⅴ（10）",U374="新加算Ⅴ（12）",U374="新加算Ⅴ（13）",U374="新加算Ⅴ（14）"),IF(OR(AP374="○",AP374="令和６年度中に満たす"),"入力済","未入力"),"")</f>
        <v/>
      </c>
      <c r="BI374" s="1321" t="str">
        <f>IF(OR(U374="新加算Ⅰ",U374="新加算Ⅱ",U374="新加算Ⅲ",U374="新加算Ⅴ（１）",U374="新加算Ⅴ（３）",U374="新加算Ⅴ（８）"),IF(OR(AQ374="○",AQ374="令和６年度中に満たす"),"入力済","未入力"),"")</f>
        <v/>
      </c>
      <c r="BJ374" s="1512"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493" t="str">
        <f>IF(OR(U374="新加算Ⅰ",U374="新加算Ⅴ（１）",U374="新加算Ⅴ（２）",U374="新加算Ⅴ（５）",U374="新加算Ⅴ（７）",U374="新加算Ⅴ（10）"),IF(AS374="","未入力","入力済"),"")</f>
        <v/>
      </c>
      <c r="BL374" s="543" t="str">
        <f>G374</f>
        <v/>
      </c>
    </row>
    <row r="375" spans="1:64" ht="15" customHeight="1">
      <c r="A375" s="1226"/>
      <c r="B375" s="1272"/>
      <c r="C375" s="1261"/>
      <c r="D375" s="1261"/>
      <c r="E375" s="1261"/>
      <c r="F375" s="1262"/>
      <c r="G375" s="1266"/>
      <c r="H375" s="1266"/>
      <c r="I375" s="1266"/>
      <c r="J375" s="1372"/>
      <c r="K375" s="1266"/>
      <c r="L375" s="1247"/>
      <c r="M375" s="1374"/>
      <c r="N375" s="1370" t="str">
        <f>IF('別紙様式2-2（４・５月分）'!Q285="","",'別紙様式2-2（４・５月分）'!Q285)</f>
        <v/>
      </c>
      <c r="O375" s="1367"/>
      <c r="P375" s="1383"/>
      <c r="Q375" s="1384"/>
      <c r="R375" s="1385"/>
      <c r="S375" s="1393"/>
      <c r="T375" s="1414"/>
      <c r="U375" s="1416"/>
      <c r="V375" s="1458"/>
      <c r="W375" s="1351"/>
      <c r="X375" s="1353"/>
      <c r="Y375" s="1355"/>
      <c r="Z375" s="1353"/>
      <c r="AA375" s="1355"/>
      <c r="AB375" s="1353"/>
      <c r="AC375" s="1355"/>
      <c r="AD375" s="1353"/>
      <c r="AE375" s="1355"/>
      <c r="AF375" s="1355"/>
      <c r="AG375" s="1355"/>
      <c r="AH375" s="1361"/>
      <c r="AI375" s="1482"/>
      <c r="AJ375" s="1484"/>
      <c r="AK375" s="1486"/>
      <c r="AL375" s="1434"/>
      <c r="AM375" s="1488"/>
      <c r="AN375" s="1503"/>
      <c r="AO375" s="1365"/>
      <c r="AP375" s="1404"/>
      <c r="AQ375" s="1404"/>
      <c r="AR375" s="1490"/>
      <c r="AS375" s="1492"/>
      <c r="AT375" s="1331" t="str">
        <f t="shared" si="337"/>
        <v/>
      </c>
      <c r="AU375" s="651"/>
      <c r="AV375" s="1493"/>
      <c r="AW375" s="1518" t="str">
        <f>IF('別紙様式2-2（４・５月分）'!O285="","",'別紙様式2-2（４・５月分）'!O285)</f>
        <v/>
      </c>
      <c r="AX375" s="1507"/>
      <c r="AY375" s="1506"/>
      <c r="AZ375" s="1321"/>
      <c r="BA375" s="1321"/>
      <c r="BB375" s="1321"/>
      <c r="BC375" s="1321"/>
      <c r="BD375" s="1321"/>
      <c r="BE375" s="1321"/>
      <c r="BF375" s="1321"/>
      <c r="BG375" s="1321"/>
      <c r="BH375" s="1321"/>
      <c r="BI375" s="1321"/>
      <c r="BJ375" s="1512"/>
      <c r="BK375" s="1493"/>
      <c r="BL375" s="543" t="str">
        <f>G374</f>
        <v/>
      </c>
    </row>
    <row r="376" spans="1:64" ht="15" customHeight="1">
      <c r="A376" s="1240"/>
      <c r="B376" s="1272"/>
      <c r="C376" s="1261"/>
      <c r="D376" s="1261"/>
      <c r="E376" s="1261"/>
      <c r="F376" s="1262"/>
      <c r="G376" s="1266"/>
      <c r="H376" s="1266"/>
      <c r="I376" s="1266"/>
      <c r="J376" s="1372"/>
      <c r="K376" s="1266"/>
      <c r="L376" s="1247"/>
      <c r="M376" s="1374"/>
      <c r="N376" s="1371"/>
      <c r="O376" s="1368"/>
      <c r="P376" s="1390" t="s">
        <v>2179</v>
      </c>
      <c r="Q376" s="1386" t="str">
        <f>IFERROR(VLOOKUP('別紙様式2-2（４・５月分）'!AR284,【参考】数式用!$AT$5:$AV$22,3,FALSE),"")</f>
        <v/>
      </c>
      <c r="R376" s="1388" t="s">
        <v>2190</v>
      </c>
      <c r="S376" s="1394" t="str">
        <f>IFERROR(VLOOKUP(K374,【参考】数式用!$A$5:$AB$27,MATCH(Q376,【参考】数式用!$B$4:$AB$4,0)+1,0),"")</f>
        <v/>
      </c>
      <c r="T376" s="1459" t="s">
        <v>217</v>
      </c>
      <c r="U376" s="1461"/>
      <c r="V376" s="1463" t="str">
        <f>IFERROR(VLOOKUP(K374,【参考】数式用!$A$5:$AB$27,MATCH(U376,【参考】数式用!$B$4:$AB$4,0)+1,0),"")</f>
        <v/>
      </c>
      <c r="W376" s="1465" t="s">
        <v>19</v>
      </c>
      <c r="X376" s="1508">
        <v>7</v>
      </c>
      <c r="Y376" s="1407" t="s">
        <v>10</v>
      </c>
      <c r="Z376" s="1508">
        <v>4</v>
      </c>
      <c r="AA376" s="1407" t="s">
        <v>45</v>
      </c>
      <c r="AB376" s="1508">
        <v>8</v>
      </c>
      <c r="AC376" s="1407" t="s">
        <v>10</v>
      </c>
      <c r="AD376" s="1508">
        <v>3</v>
      </c>
      <c r="AE376" s="1407" t="s">
        <v>13</v>
      </c>
      <c r="AF376" s="1407" t="s">
        <v>24</v>
      </c>
      <c r="AG376" s="1407">
        <f>IF(X376&gt;=1,(AB376*12+AD376)-(X376*12+Z376)+1,"")</f>
        <v>12</v>
      </c>
      <c r="AH376" s="1409" t="s">
        <v>38</v>
      </c>
      <c r="AI376" s="1496" t="str">
        <f>IFERROR(ROUNDDOWN(ROUND(L374*V376,0)*M374,0)*AG376,"")</f>
        <v/>
      </c>
      <c r="AJ376" s="1510" t="str">
        <f>IFERROR(ROUNDDOWN(ROUND((L374*(V376-AX374)),0)*M374,0)*AG376,"")</f>
        <v/>
      </c>
      <c r="AK376" s="1494">
        <f>IFERROR(IF(OR(N374="",N375="",N377=""),0,ROUNDDOWN(ROUNDDOWN(ROUND(L374*VLOOKUP(K374,【参考】数式用!$A$5:$AB$27,MATCH("新加算Ⅳ",【参考】数式用!$B$4:$AB$4,0)+1,0),0)*M374,0)*AG376*0.5,0)),"")</f>
        <v>0</v>
      </c>
      <c r="AL376" s="1435" t="str">
        <f t="shared" ref="AL376" si="375">IF(U376&lt;&gt;"","新規に適用","")</f>
        <v/>
      </c>
      <c r="AM376" s="1498">
        <f>IFERROR(IF(OR(N377="ベア加算",N377=""),0, IF(OR(U374="新加算Ⅰ",U374="新加算Ⅱ",U374="新加算Ⅲ",U374="新加算Ⅳ"),0,ROUNDDOWN(ROUND(L374*VLOOKUP(K374,【参考】数式用!$A$5:$I$27,MATCH("ベア加算",【参考】数式用!$B$4:$I$4,0)+1,0),0)*M374,0)*AG376)),"")</f>
        <v>0</v>
      </c>
      <c r="AN376" s="1356" t="str">
        <f t="shared" ref="AN376" si="376">IF(AM376=0,"",IF(AND(U376&lt;&gt;"",AN374=""),"新規に適用",IF(AND(U376&lt;&gt;"",AN374&lt;&gt;""),"継続で適用","")))</f>
        <v/>
      </c>
      <c r="AO376" s="1356" t="str">
        <f>IF(AND(U376&lt;&gt;"",AO374=""),"新規に適用",IF(AND(U376&lt;&gt;"",AO374&lt;&gt;""),"継続で適用",""))</f>
        <v/>
      </c>
      <c r="AP376" s="1358"/>
      <c r="AQ376" s="1356" t="str">
        <f>IF(AND(U376&lt;&gt;"",AQ374=""),"新規に適用",IF(AND(U376&lt;&gt;"",AQ374&lt;&gt;""),"継続で適用",""))</f>
        <v/>
      </c>
      <c r="AR376" s="1344" t="str">
        <f t="shared" si="360"/>
        <v/>
      </c>
      <c r="AS376" s="1356" t="str">
        <f>IF(AND(U376&lt;&gt;"",AS374=""),"新規に適用",IF(AND(U376&lt;&gt;"",AS374&lt;&gt;""),"継続で適用",""))</f>
        <v/>
      </c>
      <c r="AT376" s="1331"/>
      <c r="AU376" s="651"/>
      <c r="AV376" s="1493" t="str">
        <f>IF(K374&lt;&gt;"","V列に色付け","")</f>
        <v/>
      </c>
      <c r="AW376" s="1518"/>
      <c r="AX376" s="1507"/>
      <c r="AY376" s="163"/>
      <c r="AZ376" s="163"/>
      <c r="BA376" s="163"/>
      <c r="BB376" s="163"/>
      <c r="BC376" s="163"/>
      <c r="BD376" s="163"/>
      <c r="BE376" s="163"/>
      <c r="BF376" s="163"/>
      <c r="BG376" s="163"/>
      <c r="BH376" s="163"/>
      <c r="BI376" s="163"/>
      <c r="BJ376" s="163"/>
      <c r="BK376" s="163"/>
      <c r="BL376" s="543" t="str">
        <f>G374</f>
        <v/>
      </c>
    </row>
    <row r="377" spans="1:64" ht="30" customHeight="1" thickBot="1">
      <c r="A377" s="1227"/>
      <c r="B377" s="1376"/>
      <c r="C377" s="1377"/>
      <c r="D377" s="1377"/>
      <c r="E377" s="1377"/>
      <c r="F377" s="1378"/>
      <c r="G377" s="1267"/>
      <c r="H377" s="1267"/>
      <c r="I377" s="1267"/>
      <c r="J377" s="1373"/>
      <c r="K377" s="1267"/>
      <c r="L377" s="1248"/>
      <c r="M377" s="1375"/>
      <c r="N377" s="650" t="str">
        <f>IF('別紙様式2-2（４・５月分）'!Q286="","",'別紙様式2-2（４・５月分）'!Q286)</f>
        <v/>
      </c>
      <c r="O377" s="1369"/>
      <c r="P377" s="1391"/>
      <c r="Q377" s="1387"/>
      <c r="R377" s="1389"/>
      <c r="S377" s="1395"/>
      <c r="T377" s="1460"/>
      <c r="U377" s="1462"/>
      <c r="V377" s="1464"/>
      <c r="W377" s="1466"/>
      <c r="X377" s="1509"/>
      <c r="Y377" s="1408"/>
      <c r="Z377" s="1509"/>
      <c r="AA377" s="1408"/>
      <c r="AB377" s="1509"/>
      <c r="AC377" s="1408"/>
      <c r="AD377" s="1509"/>
      <c r="AE377" s="1408"/>
      <c r="AF377" s="1408"/>
      <c r="AG377" s="1408"/>
      <c r="AH377" s="1410"/>
      <c r="AI377" s="1497"/>
      <c r="AJ377" s="1511"/>
      <c r="AK377" s="1495"/>
      <c r="AL377" s="1436"/>
      <c r="AM377" s="1499"/>
      <c r="AN377" s="1357"/>
      <c r="AO377" s="1357"/>
      <c r="AP377" s="1359"/>
      <c r="AQ377" s="1357"/>
      <c r="AR377" s="1345"/>
      <c r="AS377" s="1357"/>
      <c r="AT377" s="581" t="str">
        <f t="shared" ref="AT377" si="377">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51"/>
      <c r="AV377" s="1493"/>
      <c r="AW377" s="652" t="str">
        <f>IF('別紙様式2-2（４・５月分）'!O286="","",'別紙様式2-2（４・５月分）'!O286)</f>
        <v/>
      </c>
      <c r="AX377" s="1507"/>
      <c r="AY377" s="163"/>
      <c r="AZ377" s="163"/>
      <c r="BA377" s="163"/>
      <c r="BB377" s="163"/>
      <c r="BC377" s="163"/>
      <c r="BD377" s="163"/>
      <c r="BE377" s="163"/>
      <c r="BF377" s="163"/>
      <c r="BG377" s="163"/>
      <c r="BH377" s="163"/>
      <c r="BI377" s="163"/>
      <c r="BJ377" s="163"/>
      <c r="BK377" s="163"/>
      <c r="BL377" s="543" t="str">
        <f>G374</f>
        <v/>
      </c>
    </row>
    <row r="378" spans="1:64" ht="30" customHeight="1">
      <c r="A378" s="1241">
        <v>92</v>
      </c>
      <c r="B378" s="1271" t="str">
        <f>IF(基本情報入力シート!C145="","",基本情報入力シート!C145)</f>
        <v/>
      </c>
      <c r="C378" s="1259"/>
      <c r="D378" s="1259"/>
      <c r="E378" s="1259"/>
      <c r="F378" s="1260"/>
      <c r="G378" s="1265" t="str">
        <f>IF(基本情報入力シート!M145="","",基本情報入力シート!M145)</f>
        <v/>
      </c>
      <c r="H378" s="1265" t="str">
        <f>IF(基本情報入力シート!R145="","",基本情報入力シート!R145)</f>
        <v/>
      </c>
      <c r="I378" s="1265" t="str">
        <f>IF(基本情報入力シート!W145="","",基本情報入力シート!W145)</f>
        <v/>
      </c>
      <c r="J378" s="1379" t="str">
        <f>IF(基本情報入力シート!X145="","",基本情報入力シート!X145)</f>
        <v/>
      </c>
      <c r="K378" s="1265" t="str">
        <f>IF(基本情報入力シート!Y145="","",基本情報入力シート!Y145)</f>
        <v/>
      </c>
      <c r="L378" s="1246" t="str">
        <f>IF(基本情報入力シート!AB145="","",基本情報入力シート!AB145)</f>
        <v/>
      </c>
      <c r="M378" s="1249" t="str">
        <f>IF(基本情報入力シート!AC145="","",基本情報入力シート!AC145)</f>
        <v/>
      </c>
      <c r="N378" s="647" t="str">
        <f>IF('別紙様式2-2（４・５月分）'!Q287="","",'別紙様式2-2（４・５月分）'!Q287)</f>
        <v/>
      </c>
      <c r="O378" s="1366" t="str">
        <f>IF(SUM('別紙様式2-2（４・５月分）'!R287:R289)=0,"",SUM('別紙様式2-2（４・５月分）'!R287:R289))</f>
        <v/>
      </c>
      <c r="P378" s="1380" t="str">
        <f>IFERROR(VLOOKUP('別紙様式2-2（４・５月分）'!AR287,【参考】数式用!$AT$5:$AU$22,2,FALSE),"")</f>
        <v/>
      </c>
      <c r="Q378" s="1381"/>
      <c r="R378" s="1382"/>
      <c r="S378" s="1392" t="str">
        <f>IFERROR(VLOOKUP(K378,【参考】数式用!$A$5:$AB$27,MATCH(P378,【参考】数式用!$B$4:$AB$4,0)+1,0),"")</f>
        <v/>
      </c>
      <c r="T378" s="1413" t="s">
        <v>2173</v>
      </c>
      <c r="U378" s="1415"/>
      <c r="V378" s="1457" t="str">
        <f>IFERROR(VLOOKUP(K378,【参考】数式用!$A$5:$AB$27,MATCH(U378,【参考】数式用!$B$4:$AB$4,0)+1,0),"")</f>
        <v/>
      </c>
      <c r="W378" s="1350" t="s">
        <v>19</v>
      </c>
      <c r="X378" s="1352">
        <v>6</v>
      </c>
      <c r="Y378" s="1354" t="s">
        <v>10</v>
      </c>
      <c r="Z378" s="1352">
        <v>6</v>
      </c>
      <c r="AA378" s="1354" t="s">
        <v>45</v>
      </c>
      <c r="AB378" s="1352">
        <v>7</v>
      </c>
      <c r="AC378" s="1354" t="s">
        <v>10</v>
      </c>
      <c r="AD378" s="1352">
        <v>3</v>
      </c>
      <c r="AE378" s="1354" t="s">
        <v>13</v>
      </c>
      <c r="AF378" s="1354" t="s">
        <v>24</v>
      </c>
      <c r="AG378" s="1354">
        <f>IF(X378&gt;=1,(AB378*12+AD378)-(X378*12+Z378)+1,"")</f>
        <v>10</v>
      </c>
      <c r="AH378" s="1360" t="s">
        <v>38</v>
      </c>
      <c r="AI378" s="1481" t="str">
        <f>IFERROR(ROUNDDOWN(ROUND(L378*V378,0)*M378,0)*AG378,"")</f>
        <v/>
      </c>
      <c r="AJ378" s="1483" t="str">
        <f>IFERROR(ROUNDDOWN(ROUND((L378*(V378-AX378)),0)*M378,0)*AG378,"")</f>
        <v/>
      </c>
      <c r="AK378" s="1485">
        <f>IFERROR(IF(OR(N378="",N379="",N381=""),0,ROUNDDOWN(ROUNDDOWN(ROUND(L378*VLOOKUP(K378,【参考】数式用!$A$5:$AB$27,MATCH("新加算Ⅳ",【参考】数式用!$B$4:$AB$4,0)+1,0),0)*M378,0)*AG378*0.5,0)),"")</f>
        <v>0</v>
      </c>
      <c r="AL378" s="1433"/>
      <c r="AM378" s="1487">
        <f>IFERROR(IF(OR(N381="ベア加算",N381=""),0, IF(OR(U378="新加算Ⅰ",U378="新加算Ⅱ",U378="新加算Ⅲ",U378="新加算Ⅳ"),ROUNDDOWN(ROUND(L378*VLOOKUP(K378,【参考】数式用!$A$5:$I$27,MATCH("ベア加算",【参考】数式用!$B$4:$I$4,0)+1,0),0)*M378,0)*AG378,0)),"")</f>
        <v>0</v>
      </c>
      <c r="AN378" s="1502"/>
      <c r="AO378" s="1364"/>
      <c r="AP378" s="1403"/>
      <c r="AQ378" s="1403"/>
      <c r="AR378" s="1489"/>
      <c r="AS378" s="1491"/>
      <c r="AT378" s="556" t="str">
        <f t="shared" si="335"/>
        <v/>
      </c>
      <c r="AU378" s="651"/>
      <c r="AV378" s="1493" t="str">
        <f>IF(K378&lt;&gt;"","V列に色付け","")</f>
        <v/>
      </c>
      <c r="AW378" s="652" t="str">
        <f>IF('別紙様式2-2（４・５月分）'!O287="","",'別紙様式2-2（４・５月分）'!O287)</f>
        <v/>
      </c>
      <c r="AX378" s="1507" t="str">
        <f>IF(SUM('別紙様式2-2（４・５月分）'!P287:P289)=0,"",SUM('別紙様式2-2（４・５月分）'!P287:P289))</f>
        <v/>
      </c>
      <c r="AY378" s="1506" t="str">
        <f>IFERROR(VLOOKUP(K378,【参考】数式用!$AJ$2:$AK$24,2,FALSE),"")</f>
        <v/>
      </c>
      <c r="AZ378" s="1321" t="s">
        <v>2098</v>
      </c>
      <c r="BA378" s="1321" t="s">
        <v>2099</v>
      </c>
      <c r="BB378" s="1321" t="s">
        <v>2100</v>
      </c>
      <c r="BC378" s="1321" t="s">
        <v>2101</v>
      </c>
      <c r="BD378" s="1321" t="str">
        <f>IF(AND(P378&lt;&gt;"新加算Ⅰ",P378&lt;&gt;"新加算Ⅱ",P378&lt;&gt;"新加算Ⅲ",P378&lt;&gt;"新加算Ⅳ"),P378,IF(Q380&lt;&gt;"",Q380,""))</f>
        <v/>
      </c>
      <c r="BE378" s="1321"/>
      <c r="BF378" s="1321" t="str">
        <f t="shared" ref="BF378" si="378">IF(AM378&lt;&gt;0,IF(AN378="○","入力済","未入力"),"")</f>
        <v/>
      </c>
      <c r="BG378" s="1321"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321" t="str">
        <f>IF(OR(U378="新加算Ⅴ（７）",U378="新加算Ⅴ（９）",U378="新加算Ⅴ（10）",U378="新加算Ⅴ（12）",U378="新加算Ⅴ（13）",U378="新加算Ⅴ（14）"),IF(OR(AP378="○",AP378="令和６年度中に満たす"),"入力済","未入力"),"")</f>
        <v/>
      </c>
      <c r="BI378" s="1321" t="str">
        <f>IF(OR(U378="新加算Ⅰ",U378="新加算Ⅱ",U378="新加算Ⅲ",U378="新加算Ⅴ（１）",U378="新加算Ⅴ（３）",U378="新加算Ⅴ（８）"),IF(OR(AQ378="○",AQ378="令和６年度中に満たす"),"入力済","未入力"),"")</f>
        <v/>
      </c>
      <c r="BJ378" s="1512"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493" t="str">
        <f>IF(OR(U378="新加算Ⅰ",U378="新加算Ⅴ（１）",U378="新加算Ⅴ（２）",U378="新加算Ⅴ（５）",U378="新加算Ⅴ（７）",U378="新加算Ⅴ（10）"),IF(AS378="","未入力","入力済"),"")</f>
        <v/>
      </c>
      <c r="BL378" s="543" t="str">
        <f>G378</f>
        <v/>
      </c>
    </row>
    <row r="379" spans="1:64" ht="15" customHeight="1">
      <c r="A379" s="1226"/>
      <c r="B379" s="1272"/>
      <c r="C379" s="1261"/>
      <c r="D379" s="1261"/>
      <c r="E379" s="1261"/>
      <c r="F379" s="1262"/>
      <c r="G379" s="1266"/>
      <c r="H379" s="1266"/>
      <c r="I379" s="1266"/>
      <c r="J379" s="1372"/>
      <c r="K379" s="1266"/>
      <c r="L379" s="1247"/>
      <c r="M379" s="1250"/>
      <c r="N379" s="1370" t="str">
        <f>IF('別紙様式2-2（４・５月分）'!Q288="","",'別紙様式2-2（４・５月分）'!Q288)</f>
        <v/>
      </c>
      <c r="O379" s="1367"/>
      <c r="P379" s="1383"/>
      <c r="Q379" s="1384"/>
      <c r="R379" s="1385"/>
      <c r="S379" s="1393"/>
      <c r="T379" s="1414"/>
      <c r="U379" s="1416"/>
      <c r="V379" s="1458"/>
      <c r="W379" s="1351"/>
      <c r="X379" s="1353"/>
      <c r="Y379" s="1355"/>
      <c r="Z379" s="1353"/>
      <c r="AA379" s="1355"/>
      <c r="AB379" s="1353"/>
      <c r="AC379" s="1355"/>
      <c r="AD379" s="1353"/>
      <c r="AE379" s="1355"/>
      <c r="AF379" s="1355"/>
      <c r="AG379" s="1355"/>
      <c r="AH379" s="1361"/>
      <c r="AI379" s="1482"/>
      <c r="AJ379" s="1484"/>
      <c r="AK379" s="1486"/>
      <c r="AL379" s="1434"/>
      <c r="AM379" s="1488"/>
      <c r="AN379" s="1503"/>
      <c r="AO379" s="1365"/>
      <c r="AP379" s="1404"/>
      <c r="AQ379" s="1404"/>
      <c r="AR379" s="1490"/>
      <c r="AS379" s="1492"/>
      <c r="AT379" s="1331" t="str">
        <f t="shared" si="337"/>
        <v/>
      </c>
      <c r="AU379" s="651"/>
      <c r="AV379" s="1493"/>
      <c r="AW379" s="1518" t="str">
        <f>IF('別紙様式2-2（４・５月分）'!O288="","",'別紙様式2-2（４・５月分）'!O288)</f>
        <v/>
      </c>
      <c r="AX379" s="1507"/>
      <c r="AY379" s="1506"/>
      <c r="AZ379" s="1321"/>
      <c r="BA379" s="1321"/>
      <c r="BB379" s="1321"/>
      <c r="BC379" s="1321"/>
      <c r="BD379" s="1321"/>
      <c r="BE379" s="1321"/>
      <c r="BF379" s="1321"/>
      <c r="BG379" s="1321"/>
      <c r="BH379" s="1321"/>
      <c r="BI379" s="1321"/>
      <c r="BJ379" s="1512"/>
      <c r="BK379" s="1493"/>
      <c r="BL379" s="543" t="str">
        <f>G378</f>
        <v/>
      </c>
    </row>
    <row r="380" spans="1:64" ht="15" customHeight="1">
      <c r="A380" s="1240"/>
      <c r="B380" s="1272"/>
      <c r="C380" s="1261"/>
      <c r="D380" s="1261"/>
      <c r="E380" s="1261"/>
      <c r="F380" s="1262"/>
      <c r="G380" s="1266"/>
      <c r="H380" s="1266"/>
      <c r="I380" s="1266"/>
      <c r="J380" s="1372"/>
      <c r="K380" s="1266"/>
      <c r="L380" s="1247"/>
      <c r="M380" s="1250"/>
      <c r="N380" s="1371"/>
      <c r="O380" s="1368"/>
      <c r="P380" s="1390" t="s">
        <v>2179</v>
      </c>
      <c r="Q380" s="1386" t="str">
        <f>IFERROR(VLOOKUP('別紙様式2-2（４・５月分）'!AR287,【参考】数式用!$AT$5:$AV$22,3,FALSE),"")</f>
        <v/>
      </c>
      <c r="R380" s="1388" t="s">
        <v>2190</v>
      </c>
      <c r="S380" s="1396" t="str">
        <f>IFERROR(VLOOKUP(K378,【参考】数式用!$A$5:$AB$27,MATCH(Q380,【参考】数式用!$B$4:$AB$4,0)+1,0),"")</f>
        <v/>
      </c>
      <c r="T380" s="1459" t="s">
        <v>217</v>
      </c>
      <c r="U380" s="1461"/>
      <c r="V380" s="1463" t="str">
        <f>IFERROR(VLOOKUP(K378,【参考】数式用!$A$5:$AB$27,MATCH(U380,【参考】数式用!$B$4:$AB$4,0)+1,0),"")</f>
        <v/>
      </c>
      <c r="W380" s="1465" t="s">
        <v>19</v>
      </c>
      <c r="X380" s="1508">
        <v>7</v>
      </c>
      <c r="Y380" s="1407" t="s">
        <v>10</v>
      </c>
      <c r="Z380" s="1508">
        <v>4</v>
      </c>
      <c r="AA380" s="1407" t="s">
        <v>45</v>
      </c>
      <c r="AB380" s="1508">
        <v>8</v>
      </c>
      <c r="AC380" s="1407" t="s">
        <v>10</v>
      </c>
      <c r="AD380" s="1508">
        <v>3</v>
      </c>
      <c r="AE380" s="1407" t="s">
        <v>13</v>
      </c>
      <c r="AF380" s="1407" t="s">
        <v>24</v>
      </c>
      <c r="AG380" s="1407">
        <f>IF(X380&gt;=1,(AB380*12+AD380)-(X380*12+Z380)+1,"")</f>
        <v>12</v>
      </c>
      <c r="AH380" s="1409" t="s">
        <v>38</v>
      </c>
      <c r="AI380" s="1496" t="str">
        <f>IFERROR(ROUNDDOWN(ROUND(L378*V380,0)*M378,0)*AG380,"")</f>
        <v/>
      </c>
      <c r="AJ380" s="1510" t="str">
        <f>IFERROR(ROUNDDOWN(ROUND((L378*(V380-AX378)),0)*M378,0)*AG380,"")</f>
        <v/>
      </c>
      <c r="AK380" s="1494">
        <f>IFERROR(IF(OR(N378="",N379="",N381=""),0,ROUNDDOWN(ROUNDDOWN(ROUND(L378*VLOOKUP(K378,【参考】数式用!$A$5:$AB$27,MATCH("新加算Ⅳ",【参考】数式用!$B$4:$AB$4,0)+1,0),0)*M378,0)*AG380*0.5,0)),"")</f>
        <v>0</v>
      </c>
      <c r="AL380" s="1435" t="str">
        <f t="shared" ref="AL380" si="379">IF(U380&lt;&gt;"","新規に適用","")</f>
        <v/>
      </c>
      <c r="AM380" s="1498">
        <f>IFERROR(IF(OR(N381="ベア加算",N381=""),0, IF(OR(U378="新加算Ⅰ",U378="新加算Ⅱ",U378="新加算Ⅲ",U378="新加算Ⅳ"),0,ROUNDDOWN(ROUND(L378*VLOOKUP(K378,【参考】数式用!$A$5:$I$27,MATCH("ベア加算",【参考】数式用!$B$4:$I$4,0)+1,0),0)*M378,0)*AG380)),"")</f>
        <v>0</v>
      </c>
      <c r="AN380" s="1356" t="str">
        <f t="shared" ref="AN380" si="380">IF(AM380=0,"",IF(AND(U380&lt;&gt;"",AN378=""),"新規に適用",IF(AND(U380&lt;&gt;"",AN378&lt;&gt;""),"継続で適用","")))</f>
        <v/>
      </c>
      <c r="AO380" s="1356" t="str">
        <f>IF(AND(U380&lt;&gt;"",AO378=""),"新規に適用",IF(AND(U380&lt;&gt;"",AO378&lt;&gt;""),"継続で適用",""))</f>
        <v/>
      </c>
      <c r="AP380" s="1358"/>
      <c r="AQ380" s="1356" t="str">
        <f>IF(AND(U380&lt;&gt;"",AQ378=""),"新規に適用",IF(AND(U380&lt;&gt;"",AQ378&lt;&gt;""),"継続で適用",""))</f>
        <v/>
      </c>
      <c r="AR380" s="1344" t="str">
        <f t="shared" si="360"/>
        <v/>
      </c>
      <c r="AS380" s="1356" t="str">
        <f>IF(AND(U380&lt;&gt;"",AS378=""),"新規に適用",IF(AND(U380&lt;&gt;"",AS378&lt;&gt;""),"継続で適用",""))</f>
        <v/>
      </c>
      <c r="AT380" s="1331"/>
      <c r="AU380" s="651"/>
      <c r="AV380" s="1493" t="str">
        <f>IF(K378&lt;&gt;"","V列に色付け","")</f>
        <v/>
      </c>
      <c r="AW380" s="1518"/>
      <c r="AX380" s="1507"/>
      <c r="AY380" s="163"/>
      <c r="AZ380" s="163"/>
      <c r="BA380" s="163"/>
      <c r="BB380" s="163"/>
      <c r="BC380" s="163"/>
      <c r="BD380" s="163"/>
      <c r="BE380" s="163"/>
      <c r="BF380" s="163"/>
      <c r="BG380" s="163"/>
      <c r="BH380" s="163"/>
      <c r="BI380" s="163"/>
      <c r="BJ380" s="163"/>
      <c r="BK380" s="163"/>
      <c r="BL380" s="543" t="str">
        <f>G378</f>
        <v/>
      </c>
    </row>
    <row r="381" spans="1:64" ht="30" customHeight="1" thickBot="1">
      <c r="A381" s="1227"/>
      <c r="B381" s="1376"/>
      <c r="C381" s="1377"/>
      <c r="D381" s="1377"/>
      <c r="E381" s="1377"/>
      <c r="F381" s="1378"/>
      <c r="G381" s="1267"/>
      <c r="H381" s="1267"/>
      <c r="I381" s="1267"/>
      <c r="J381" s="1373"/>
      <c r="K381" s="1267"/>
      <c r="L381" s="1248"/>
      <c r="M381" s="1251"/>
      <c r="N381" s="650" t="str">
        <f>IF('別紙様式2-2（４・５月分）'!Q289="","",'別紙様式2-2（４・５月分）'!Q289)</f>
        <v/>
      </c>
      <c r="O381" s="1369"/>
      <c r="P381" s="1391"/>
      <c r="Q381" s="1387"/>
      <c r="R381" s="1389"/>
      <c r="S381" s="1395"/>
      <c r="T381" s="1460"/>
      <c r="U381" s="1462"/>
      <c r="V381" s="1464"/>
      <c r="W381" s="1466"/>
      <c r="X381" s="1509"/>
      <c r="Y381" s="1408"/>
      <c r="Z381" s="1509"/>
      <c r="AA381" s="1408"/>
      <c r="AB381" s="1509"/>
      <c r="AC381" s="1408"/>
      <c r="AD381" s="1509"/>
      <c r="AE381" s="1408"/>
      <c r="AF381" s="1408"/>
      <c r="AG381" s="1408"/>
      <c r="AH381" s="1410"/>
      <c r="AI381" s="1497"/>
      <c r="AJ381" s="1511"/>
      <c r="AK381" s="1495"/>
      <c r="AL381" s="1436"/>
      <c r="AM381" s="1499"/>
      <c r="AN381" s="1357"/>
      <c r="AO381" s="1357"/>
      <c r="AP381" s="1359"/>
      <c r="AQ381" s="1357"/>
      <c r="AR381" s="1345"/>
      <c r="AS381" s="1357"/>
      <c r="AT381" s="581" t="str">
        <f t="shared" ref="AT381" si="381">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51"/>
      <c r="AV381" s="1493"/>
      <c r="AW381" s="652" t="str">
        <f>IF('別紙様式2-2（４・５月分）'!O289="","",'別紙様式2-2（４・５月分）'!O289)</f>
        <v/>
      </c>
      <c r="AX381" s="1507"/>
      <c r="AY381" s="163"/>
      <c r="AZ381" s="163"/>
      <c r="BA381" s="163"/>
      <c r="BB381" s="163"/>
      <c r="BC381" s="163"/>
      <c r="BD381" s="163"/>
      <c r="BE381" s="163"/>
      <c r="BF381" s="163"/>
      <c r="BG381" s="163"/>
      <c r="BH381" s="163"/>
      <c r="BI381" s="163"/>
      <c r="BJ381" s="163"/>
      <c r="BK381" s="163"/>
      <c r="BL381" s="543" t="str">
        <f>G378</f>
        <v/>
      </c>
    </row>
    <row r="382" spans="1:64" ht="30" customHeight="1">
      <c r="A382" s="1225">
        <v>93</v>
      </c>
      <c r="B382" s="1272" t="str">
        <f>IF(基本情報入力シート!C146="","",基本情報入力シート!C146)</f>
        <v/>
      </c>
      <c r="C382" s="1261"/>
      <c r="D382" s="1261"/>
      <c r="E382" s="1261"/>
      <c r="F382" s="1262"/>
      <c r="G382" s="1266" t="str">
        <f>IF(基本情報入力シート!M146="","",基本情報入力シート!M146)</f>
        <v/>
      </c>
      <c r="H382" s="1266" t="str">
        <f>IF(基本情報入力シート!R146="","",基本情報入力シート!R146)</f>
        <v/>
      </c>
      <c r="I382" s="1266" t="str">
        <f>IF(基本情報入力シート!W146="","",基本情報入力シート!W146)</f>
        <v/>
      </c>
      <c r="J382" s="1372" t="str">
        <f>IF(基本情報入力シート!X146="","",基本情報入力シート!X146)</f>
        <v/>
      </c>
      <c r="K382" s="1266" t="str">
        <f>IF(基本情報入力シート!Y146="","",基本情報入力シート!Y146)</f>
        <v/>
      </c>
      <c r="L382" s="1247" t="str">
        <f>IF(基本情報入力シート!AB146="","",基本情報入力シート!AB146)</f>
        <v/>
      </c>
      <c r="M382" s="1374" t="str">
        <f>IF(基本情報入力シート!AC146="","",基本情報入力シート!AC146)</f>
        <v/>
      </c>
      <c r="N382" s="647" t="str">
        <f>IF('別紙様式2-2（４・５月分）'!Q290="","",'別紙様式2-2（４・５月分）'!Q290)</f>
        <v/>
      </c>
      <c r="O382" s="1366" t="str">
        <f>IF(SUM('別紙様式2-2（４・５月分）'!R290:R292)=0,"",SUM('別紙様式2-2（４・５月分）'!R290:R292))</f>
        <v/>
      </c>
      <c r="P382" s="1380" t="str">
        <f>IFERROR(VLOOKUP('別紙様式2-2（４・５月分）'!AR290,【参考】数式用!$AT$5:$AU$22,2,FALSE),"")</f>
        <v/>
      </c>
      <c r="Q382" s="1381"/>
      <c r="R382" s="1382"/>
      <c r="S382" s="1392" t="str">
        <f>IFERROR(VLOOKUP(K382,【参考】数式用!$A$5:$AB$27,MATCH(P382,【参考】数式用!$B$4:$AB$4,0)+1,0),"")</f>
        <v/>
      </c>
      <c r="T382" s="1413" t="s">
        <v>2173</v>
      </c>
      <c r="U382" s="1415"/>
      <c r="V382" s="1457" t="str">
        <f>IFERROR(VLOOKUP(K382,【参考】数式用!$A$5:$AB$27,MATCH(U382,【参考】数式用!$B$4:$AB$4,0)+1,0),"")</f>
        <v/>
      </c>
      <c r="W382" s="1350" t="s">
        <v>19</v>
      </c>
      <c r="X382" s="1352">
        <v>6</v>
      </c>
      <c r="Y382" s="1354" t="s">
        <v>10</v>
      </c>
      <c r="Z382" s="1352">
        <v>6</v>
      </c>
      <c r="AA382" s="1354" t="s">
        <v>45</v>
      </c>
      <c r="AB382" s="1352">
        <v>7</v>
      </c>
      <c r="AC382" s="1354" t="s">
        <v>10</v>
      </c>
      <c r="AD382" s="1352">
        <v>3</v>
      </c>
      <c r="AE382" s="1354" t="s">
        <v>13</v>
      </c>
      <c r="AF382" s="1354" t="s">
        <v>24</v>
      </c>
      <c r="AG382" s="1354">
        <f>IF(X382&gt;=1,(AB382*12+AD382)-(X382*12+Z382)+1,"")</f>
        <v>10</v>
      </c>
      <c r="AH382" s="1360" t="s">
        <v>38</v>
      </c>
      <c r="AI382" s="1481" t="str">
        <f>IFERROR(ROUNDDOWN(ROUND(L382*V382,0)*M382,0)*AG382,"")</f>
        <v/>
      </c>
      <c r="AJ382" s="1483" t="str">
        <f>IFERROR(ROUNDDOWN(ROUND((L382*(V382-AX382)),0)*M382,0)*AG382,"")</f>
        <v/>
      </c>
      <c r="AK382" s="1485">
        <f>IFERROR(IF(OR(N382="",N383="",N385=""),0,ROUNDDOWN(ROUNDDOWN(ROUND(L382*VLOOKUP(K382,【参考】数式用!$A$5:$AB$27,MATCH("新加算Ⅳ",【参考】数式用!$B$4:$AB$4,0)+1,0),0)*M382,0)*AG382*0.5,0)),"")</f>
        <v>0</v>
      </c>
      <c r="AL382" s="1433"/>
      <c r="AM382" s="1487">
        <f>IFERROR(IF(OR(N385="ベア加算",N385=""),0, IF(OR(U382="新加算Ⅰ",U382="新加算Ⅱ",U382="新加算Ⅲ",U382="新加算Ⅳ"),ROUNDDOWN(ROUND(L382*VLOOKUP(K382,【参考】数式用!$A$5:$I$27,MATCH("ベア加算",【参考】数式用!$B$4:$I$4,0)+1,0),0)*M382,0)*AG382,0)),"")</f>
        <v>0</v>
      </c>
      <c r="AN382" s="1502"/>
      <c r="AO382" s="1364"/>
      <c r="AP382" s="1403"/>
      <c r="AQ382" s="1403"/>
      <c r="AR382" s="1489"/>
      <c r="AS382" s="1491"/>
      <c r="AT382" s="556" t="str">
        <f t="shared" si="335"/>
        <v/>
      </c>
      <c r="AU382" s="651"/>
      <c r="AV382" s="1493" t="str">
        <f>IF(K382&lt;&gt;"","V列に色付け","")</f>
        <v/>
      </c>
      <c r="AW382" s="652" t="str">
        <f>IF('別紙様式2-2（４・５月分）'!O290="","",'別紙様式2-2（４・５月分）'!O290)</f>
        <v/>
      </c>
      <c r="AX382" s="1507" t="str">
        <f>IF(SUM('別紙様式2-2（４・５月分）'!P290:P292)=0,"",SUM('別紙様式2-2（４・５月分）'!P290:P292))</f>
        <v/>
      </c>
      <c r="AY382" s="1506" t="str">
        <f>IFERROR(VLOOKUP(K382,【参考】数式用!$AJ$2:$AK$24,2,FALSE),"")</f>
        <v/>
      </c>
      <c r="AZ382" s="1321" t="s">
        <v>2098</v>
      </c>
      <c r="BA382" s="1321" t="s">
        <v>2099</v>
      </c>
      <c r="BB382" s="1321" t="s">
        <v>2100</v>
      </c>
      <c r="BC382" s="1321" t="s">
        <v>2101</v>
      </c>
      <c r="BD382" s="1321" t="str">
        <f>IF(AND(P382&lt;&gt;"新加算Ⅰ",P382&lt;&gt;"新加算Ⅱ",P382&lt;&gt;"新加算Ⅲ",P382&lt;&gt;"新加算Ⅳ"),P382,IF(Q384&lt;&gt;"",Q384,""))</f>
        <v/>
      </c>
      <c r="BE382" s="1321"/>
      <c r="BF382" s="1321" t="str">
        <f t="shared" ref="BF382" si="382">IF(AM382&lt;&gt;0,IF(AN382="○","入力済","未入力"),"")</f>
        <v/>
      </c>
      <c r="BG382" s="1321"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321" t="str">
        <f>IF(OR(U382="新加算Ⅴ（７）",U382="新加算Ⅴ（９）",U382="新加算Ⅴ（10）",U382="新加算Ⅴ（12）",U382="新加算Ⅴ（13）",U382="新加算Ⅴ（14）"),IF(OR(AP382="○",AP382="令和６年度中に満たす"),"入力済","未入力"),"")</f>
        <v/>
      </c>
      <c r="BI382" s="1321" t="str">
        <f>IF(OR(U382="新加算Ⅰ",U382="新加算Ⅱ",U382="新加算Ⅲ",U382="新加算Ⅴ（１）",U382="新加算Ⅴ（３）",U382="新加算Ⅴ（８）"),IF(OR(AQ382="○",AQ382="令和６年度中に満たす"),"入力済","未入力"),"")</f>
        <v/>
      </c>
      <c r="BJ382" s="1512"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493" t="str">
        <f>IF(OR(U382="新加算Ⅰ",U382="新加算Ⅴ（１）",U382="新加算Ⅴ（２）",U382="新加算Ⅴ（５）",U382="新加算Ⅴ（７）",U382="新加算Ⅴ（10）"),IF(AS382="","未入力","入力済"),"")</f>
        <v/>
      </c>
      <c r="BL382" s="543" t="str">
        <f>G382</f>
        <v/>
      </c>
    </row>
    <row r="383" spans="1:64" ht="15" customHeight="1">
      <c r="A383" s="1226"/>
      <c r="B383" s="1272"/>
      <c r="C383" s="1261"/>
      <c r="D383" s="1261"/>
      <c r="E383" s="1261"/>
      <c r="F383" s="1262"/>
      <c r="G383" s="1266"/>
      <c r="H383" s="1266"/>
      <c r="I383" s="1266"/>
      <c r="J383" s="1372"/>
      <c r="K383" s="1266"/>
      <c r="L383" s="1247"/>
      <c r="M383" s="1374"/>
      <c r="N383" s="1370" t="str">
        <f>IF('別紙様式2-2（４・５月分）'!Q291="","",'別紙様式2-2（４・５月分）'!Q291)</f>
        <v/>
      </c>
      <c r="O383" s="1367"/>
      <c r="P383" s="1383"/>
      <c r="Q383" s="1384"/>
      <c r="R383" s="1385"/>
      <c r="S383" s="1393"/>
      <c r="T383" s="1414"/>
      <c r="U383" s="1416"/>
      <c r="V383" s="1458"/>
      <c r="W383" s="1351"/>
      <c r="X383" s="1353"/>
      <c r="Y383" s="1355"/>
      <c r="Z383" s="1353"/>
      <c r="AA383" s="1355"/>
      <c r="AB383" s="1353"/>
      <c r="AC383" s="1355"/>
      <c r="AD383" s="1353"/>
      <c r="AE383" s="1355"/>
      <c r="AF383" s="1355"/>
      <c r="AG383" s="1355"/>
      <c r="AH383" s="1361"/>
      <c r="AI383" s="1482"/>
      <c r="AJ383" s="1484"/>
      <c r="AK383" s="1486"/>
      <c r="AL383" s="1434"/>
      <c r="AM383" s="1488"/>
      <c r="AN383" s="1503"/>
      <c r="AO383" s="1365"/>
      <c r="AP383" s="1404"/>
      <c r="AQ383" s="1404"/>
      <c r="AR383" s="1490"/>
      <c r="AS383" s="1492"/>
      <c r="AT383" s="1331" t="str">
        <f t="shared" si="337"/>
        <v/>
      </c>
      <c r="AU383" s="651"/>
      <c r="AV383" s="1493"/>
      <c r="AW383" s="1518" t="str">
        <f>IF('別紙様式2-2（４・５月分）'!O291="","",'別紙様式2-2（４・５月分）'!O291)</f>
        <v/>
      </c>
      <c r="AX383" s="1507"/>
      <c r="AY383" s="1506"/>
      <c r="AZ383" s="1321"/>
      <c r="BA383" s="1321"/>
      <c r="BB383" s="1321"/>
      <c r="BC383" s="1321"/>
      <c r="BD383" s="1321"/>
      <c r="BE383" s="1321"/>
      <c r="BF383" s="1321"/>
      <c r="BG383" s="1321"/>
      <c r="BH383" s="1321"/>
      <c r="BI383" s="1321"/>
      <c r="BJ383" s="1512"/>
      <c r="BK383" s="1493"/>
      <c r="BL383" s="543" t="str">
        <f>G382</f>
        <v/>
      </c>
    </row>
    <row r="384" spans="1:64" ht="15" customHeight="1">
      <c r="A384" s="1240"/>
      <c r="B384" s="1272"/>
      <c r="C384" s="1261"/>
      <c r="D384" s="1261"/>
      <c r="E384" s="1261"/>
      <c r="F384" s="1262"/>
      <c r="G384" s="1266"/>
      <c r="H384" s="1266"/>
      <c r="I384" s="1266"/>
      <c r="J384" s="1372"/>
      <c r="K384" s="1266"/>
      <c r="L384" s="1247"/>
      <c r="M384" s="1374"/>
      <c r="N384" s="1371"/>
      <c r="O384" s="1368"/>
      <c r="P384" s="1390" t="s">
        <v>2179</v>
      </c>
      <c r="Q384" s="1386" t="str">
        <f>IFERROR(VLOOKUP('別紙様式2-2（４・５月分）'!AR290,【参考】数式用!$AT$5:$AV$22,3,FALSE),"")</f>
        <v/>
      </c>
      <c r="R384" s="1388" t="s">
        <v>2190</v>
      </c>
      <c r="S384" s="1394" t="str">
        <f>IFERROR(VLOOKUP(K382,【参考】数式用!$A$5:$AB$27,MATCH(Q384,【参考】数式用!$B$4:$AB$4,0)+1,0),"")</f>
        <v/>
      </c>
      <c r="T384" s="1459" t="s">
        <v>217</v>
      </c>
      <c r="U384" s="1461"/>
      <c r="V384" s="1463" t="str">
        <f>IFERROR(VLOOKUP(K382,【参考】数式用!$A$5:$AB$27,MATCH(U384,【参考】数式用!$B$4:$AB$4,0)+1,0),"")</f>
        <v/>
      </c>
      <c r="W384" s="1465" t="s">
        <v>19</v>
      </c>
      <c r="X384" s="1508">
        <v>7</v>
      </c>
      <c r="Y384" s="1407" t="s">
        <v>10</v>
      </c>
      <c r="Z384" s="1508">
        <v>4</v>
      </c>
      <c r="AA384" s="1407" t="s">
        <v>45</v>
      </c>
      <c r="AB384" s="1508">
        <v>8</v>
      </c>
      <c r="AC384" s="1407" t="s">
        <v>10</v>
      </c>
      <c r="AD384" s="1508">
        <v>3</v>
      </c>
      <c r="AE384" s="1407" t="s">
        <v>13</v>
      </c>
      <c r="AF384" s="1407" t="s">
        <v>24</v>
      </c>
      <c r="AG384" s="1407">
        <f>IF(X384&gt;=1,(AB384*12+AD384)-(X384*12+Z384)+1,"")</f>
        <v>12</v>
      </c>
      <c r="AH384" s="1409" t="s">
        <v>38</v>
      </c>
      <c r="AI384" s="1496" t="str">
        <f>IFERROR(ROUNDDOWN(ROUND(L382*V384,0)*M382,0)*AG384,"")</f>
        <v/>
      </c>
      <c r="AJ384" s="1510" t="str">
        <f>IFERROR(ROUNDDOWN(ROUND((L382*(V384-AX382)),0)*M382,0)*AG384,"")</f>
        <v/>
      </c>
      <c r="AK384" s="1494">
        <f>IFERROR(IF(OR(N382="",N383="",N385=""),0,ROUNDDOWN(ROUNDDOWN(ROUND(L382*VLOOKUP(K382,【参考】数式用!$A$5:$AB$27,MATCH("新加算Ⅳ",【参考】数式用!$B$4:$AB$4,0)+1,0),0)*M382,0)*AG384*0.5,0)),"")</f>
        <v>0</v>
      </c>
      <c r="AL384" s="1435" t="str">
        <f t="shared" ref="AL384" si="383">IF(U384&lt;&gt;"","新規に適用","")</f>
        <v/>
      </c>
      <c r="AM384" s="1498">
        <f>IFERROR(IF(OR(N385="ベア加算",N385=""),0, IF(OR(U382="新加算Ⅰ",U382="新加算Ⅱ",U382="新加算Ⅲ",U382="新加算Ⅳ"),0,ROUNDDOWN(ROUND(L382*VLOOKUP(K382,【参考】数式用!$A$5:$I$27,MATCH("ベア加算",【参考】数式用!$B$4:$I$4,0)+1,0),0)*M382,0)*AG384)),"")</f>
        <v>0</v>
      </c>
      <c r="AN384" s="1356" t="str">
        <f t="shared" ref="AN384" si="384">IF(AM384=0,"",IF(AND(U384&lt;&gt;"",AN382=""),"新規に適用",IF(AND(U384&lt;&gt;"",AN382&lt;&gt;""),"継続で適用","")))</f>
        <v/>
      </c>
      <c r="AO384" s="1356" t="str">
        <f>IF(AND(U384&lt;&gt;"",AO382=""),"新規に適用",IF(AND(U384&lt;&gt;"",AO382&lt;&gt;""),"継続で適用",""))</f>
        <v/>
      </c>
      <c r="AP384" s="1358"/>
      <c r="AQ384" s="1356" t="str">
        <f>IF(AND(U384&lt;&gt;"",AQ382=""),"新規に適用",IF(AND(U384&lt;&gt;"",AQ382&lt;&gt;""),"継続で適用",""))</f>
        <v/>
      </c>
      <c r="AR384" s="1344" t="str">
        <f t="shared" si="360"/>
        <v/>
      </c>
      <c r="AS384" s="1356" t="str">
        <f>IF(AND(U384&lt;&gt;"",AS382=""),"新規に適用",IF(AND(U384&lt;&gt;"",AS382&lt;&gt;""),"継続で適用",""))</f>
        <v/>
      </c>
      <c r="AT384" s="1331"/>
      <c r="AU384" s="651"/>
      <c r="AV384" s="1493" t="str">
        <f>IF(K382&lt;&gt;"","V列に色付け","")</f>
        <v/>
      </c>
      <c r="AW384" s="1518"/>
      <c r="AX384" s="1507"/>
      <c r="AY384" s="163"/>
      <c r="AZ384" s="163"/>
      <c r="BA384" s="163"/>
      <c r="BB384" s="163"/>
      <c r="BC384" s="163"/>
      <c r="BD384" s="163"/>
      <c r="BE384" s="163"/>
      <c r="BF384" s="163"/>
      <c r="BG384" s="163"/>
      <c r="BH384" s="163"/>
      <c r="BI384" s="163"/>
      <c r="BJ384" s="163"/>
      <c r="BK384" s="163"/>
      <c r="BL384" s="543" t="str">
        <f>G382</f>
        <v/>
      </c>
    </row>
    <row r="385" spans="1:64" ht="30" customHeight="1" thickBot="1">
      <c r="A385" s="1227"/>
      <c r="B385" s="1376"/>
      <c r="C385" s="1377"/>
      <c r="D385" s="1377"/>
      <c r="E385" s="1377"/>
      <c r="F385" s="1378"/>
      <c r="G385" s="1267"/>
      <c r="H385" s="1267"/>
      <c r="I385" s="1267"/>
      <c r="J385" s="1373"/>
      <c r="K385" s="1267"/>
      <c r="L385" s="1248"/>
      <c r="M385" s="1375"/>
      <c r="N385" s="650" t="str">
        <f>IF('別紙様式2-2（４・５月分）'!Q292="","",'別紙様式2-2（４・５月分）'!Q292)</f>
        <v/>
      </c>
      <c r="O385" s="1369"/>
      <c r="P385" s="1391"/>
      <c r="Q385" s="1387"/>
      <c r="R385" s="1389"/>
      <c r="S385" s="1395"/>
      <c r="T385" s="1460"/>
      <c r="U385" s="1462"/>
      <c r="V385" s="1464"/>
      <c r="W385" s="1466"/>
      <c r="X385" s="1509"/>
      <c r="Y385" s="1408"/>
      <c r="Z385" s="1509"/>
      <c r="AA385" s="1408"/>
      <c r="AB385" s="1509"/>
      <c r="AC385" s="1408"/>
      <c r="AD385" s="1509"/>
      <c r="AE385" s="1408"/>
      <c r="AF385" s="1408"/>
      <c r="AG385" s="1408"/>
      <c r="AH385" s="1410"/>
      <c r="AI385" s="1497"/>
      <c r="AJ385" s="1511"/>
      <c r="AK385" s="1495"/>
      <c r="AL385" s="1436"/>
      <c r="AM385" s="1499"/>
      <c r="AN385" s="1357"/>
      <c r="AO385" s="1357"/>
      <c r="AP385" s="1359"/>
      <c r="AQ385" s="1357"/>
      <c r="AR385" s="1345"/>
      <c r="AS385" s="1357"/>
      <c r="AT385" s="581" t="str">
        <f t="shared" ref="AT385" si="385">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51"/>
      <c r="AV385" s="1493"/>
      <c r="AW385" s="652" t="str">
        <f>IF('別紙様式2-2（４・５月分）'!O292="","",'別紙様式2-2（４・５月分）'!O292)</f>
        <v/>
      </c>
      <c r="AX385" s="1507"/>
      <c r="AY385" s="163"/>
      <c r="AZ385" s="163"/>
      <c r="BA385" s="163"/>
      <c r="BB385" s="163"/>
      <c r="BC385" s="163"/>
      <c r="BD385" s="163"/>
      <c r="BE385" s="163"/>
      <c r="BF385" s="163"/>
      <c r="BG385" s="163"/>
      <c r="BH385" s="163"/>
      <c r="BI385" s="163"/>
      <c r="BJ385" s="163"/>
      <c r="BK385" s="163"/>
      <c r="BL385" s="543" t="str">
        <f>G382</f>
        <v/>
      </c>
    </row>
    <row r="386" spans="1:64" ht="30" customHeight="1">
      <c r="A386" s="1241">
        <v>94</v>
      </c>
      <c r="B386" s="1271" t="str">
        <f>IF(基本情報入力シート!C147="","",基本情報入力シート!C147)</f>
        <v/>
      </c>
      <c r="C386" s="1259"/>
      <c r="D386" s="1259"/>
      <c r="E386" s="1259"/>
      <c r="F386" s="1260"/>
      <c r="G386" s="1265" t="str">
        <f>IF(基本情報入力シート!M147="","",基本情報入力シート!M147)</f>
        <v/>
      </c>
      <c r="H386" s="1265" t="str">
        <f>IF(基本情報入力シート!R147="","",基本情報入力シート!R147)</f>
        <v/>
      </c>
      <c r="I386" s="1265" t="str">
        <f>IF(基本情報入力シート!W147="","",基本情報入力シート!W147)</f>
        <v/>
      </c>
      <c r="J386" s="1379" t="str">
        <f>IF(基本情報入力シート!X147="","",基本情報入力シート!X147)</f>
        <v/>
      </c>
      <c r="K386" s="1265" t="str">
        <f>IF(基本情報入力シート!Y147="","",基本情報入力シート!Y147)</f>
        <v/>
      </c>
      <c r="L386" s="1246" t="str">
        <f>IF(基本情報入力シート!AB147="","",基本情報入力シート!AB147)</f>
        <v/>
      </c>
      <c r="M386" s="1249" t="str">
        <f>IF(基本情報入力シート!AC147="","",基本情報入力シート!AC147)</f>
        <v/>
      </c>
      <c r="N386" s="647" t="str">
        <f>IF('別紙様式2-2（４・５月分）'!Q293="","",'別紙様式2-2（４・５月分）'!Q293)</f>
        <v/>
      </c>
      <c r="O386" s="1366" t="str">
        <f>IF(SUM('別紙様式2-2（４・５月分）'!R293:R295)=0,"",SUM('別紙様式2-2（４・５月分）'!R293:R295))</f>
        <v/>
      </c>
      <c r="P386" s="1380" t="str">
        <f>IFERROR(VLOOKUP('別紙様式2-2（４・５月分）'!AR293,【参考】数式用!$AT$5:$AU$22,2,FALSE),"")</f>
        <v/>
      </c>
      <c r="Q386" s="1381"/>
      <c r="R386" s="1382"/>
      <c r="S386" s="1392" t="str">
        <f>IFERROR(VLOOKUP(K386,【参考】数式用!$A$5:$AB$27,MATCH(P386,【参考】数式用!$B$4:$AB$4,0)+1,0),"")</f>
        <v/>
      </c>
      <c r="T386" s="1413" t="s">
        <v>2173</v>
      </c>
      <c r="U386" s="1415"/>
      <c r="V386" s="1457" t="str">
        <f>IFERROR(VLOOKUP(K386,【参考】数式用!$A$5:$AB$27,MATCH(U386,【参考】数式用!$B$4:$AB$4,0)+1,0),"")</f>
        <v/>
      </c>
      <c r="W386" s="1350" t="s">
        <v>19</v>
      </c>
      <c r="X386" s="1352">
        <v>6</v>
      </c>
      <c r="Y386" s="1354" t="s">
        <v>10</v>
      </c>
      <c r="Z386" s="1352">
        <v>6</v>
      </c>
      <c r="AA386" s="1354" t="s">
        <v>45</v>
      </c>
      <c r="AB386" s="1352">
        <v>7</v>
      </c>
      <c r="AC386" s="1354" t="s">
        <v>10</v>
      </c>
      <c r="AD386" s="1352">
        <v>3</v>
      </c>
      <c r="AE386" s="1354" t="s">
        <v>13</v>
      </c>
      <c r="AF386" s="1354" t="s">
        <v>24</v>
      </c>
      <c r="AG386" s="1354">
        <f>IF(X386&gt;=1,(AB386*12+AD386)-(X386*12+Z386)+1,"")</f>
        <v>10</v>
      </c>
      <c r="AH386" s="1360" t="s">
        <v>38</v>
      </c>
      <c r="AI386" s="1481" t="str">
        <f>IFERROR(ROUNDDOWN(ROUND(L386*V386,0)*M386,0)*AG386,"")</f>
        <v/>
      </c>
      <c r="AJ386" s="1483" t="str">
        <f>IFERROR(ROUNDDOWN(ROUND((L386*(V386-AX386)),0)*M386,0)*AG386,"")</f>
        <v/>
      </c>
      <c r="AK386" s="1485">
        <f>IFERROR(IF(OR(N386="",N387="",N389=""),0,ROUNDDOWN(ROUNDDOWN(ROUND(L386*VLOOKUP(K386,【参考】数式用!$A$5:$AB$27,MATCH("新加算Ⅳ",【参考】数式用!$B$4:$AB$4,0)+1,0),0)*M386,0)*AG386*0.5,0)),"")</f>
        <v>0</v>
      </c>
      <c r="AL386" s="1433"/>
      <c r="AM386" s="1487">
        <f>IFERROR(IF(OR(N389="ベア加算",N389=""),0, IF(OR(U386="新加算Ⅰ",U386="新加算Ⅱ",U386="新加算Ⅲ",U386="新加算Ⅳ"),ROUNDDOWN(ROUND(L386*VLOOKUP(K386,【参考】数式用!$A$5:$I$27,MATCH("ベア加算",【参考】数式用!$B$4:$I$4,0)+1,0),0)*M386,0)*AG386,0)),"")</f>
        <v>0</v>
      </c>
      <c r="AN386" s="1502"/>
      <c r="AO386" s="1364"/>
      <c r="AP386" s="1403"/>
      <c r="AQ386" s="1403"/>
      <c r="AR386" s="1489"/>
      <c r="AS386" s="1491"/>
      <c r="AT386" s="556" t="str">
        <f t="shared" si="335"/>
        <v/>
      </c>
      <c r="AU386" s="651"/>
      <c r="AV386" s="1493" t="str">
        <f>IF(K386&lt;&gt;"","V列に色付け","")</f>
        <v/>
      </c>
      <c r="AW386" s="652" t="str">
        <f>IF('別紙様式2-2（４・５月分）'!O293="","",'別紙様式2-2（４・５月分）'!O293)</f>
        <v/>
      </c>
      <c r="AX386" s="1507" t="str">
        <f>IF(SUM('別紙様式2-2（４・５月分）'!P293:P295)=0,"",SUM('別紙様式2-2（４・５月分）'!P293:P295))</f>
        <v/>
      </c>
      <c r="AY386" s="1506" t="str">
        <f>IFERROR(VLOOKUP(K386,【参考】数式用!$AJ$2:$AK$24,2,FALSE),"")</f>
        <v/>
      </c>
      <c r="AZ386" s="1321" t="s">
        <v>2098</v>
      </c>
      <c r="BA386" s="1321" t="s">
        <v>2099</v>
      </c>
      <c r="BB386" s="1321" t="s">
        <v>2100</v>
      </c>
      <c r="BC386" s="1321" t="s">
        <v>2101</v>
      </c>
      <c r="BD386" s="1321" t="str">
        <f>IF(AND(P386&lt;&gt;"新加算Ⅰ",P386&lt;&gt;"新加算Ⅱ",P386&lt;&gt;"新加算Ⅲ",P386&lt;&gt;"新加算Ⅳ"),P386,IF(Q388&lt;&gt;"",Q388,""))</f>
        <v/>
      </c>
      <c r="BE386" s="1321"/>
      <c r="BF386" s="1321" t="str">
        <f t="shared" ref="BF386" si="386">IF(AM386&lt;&gt;0,IF(AN386="○","入力済","未入力"),"")</f>
        <v/>
      </c>
      <c r="BG386" s="1321"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321" t="str">
        <f>IF(OR(U386="新加算Ⅴ（７）",U386="新加算Ⅴ（９）",U386="新加算Ⅴ（10）",U386="新加算Ⅴ（12）",U386="新加算Ⅴ（13）",U386="新加算Ⅴ（14）"),IF(OR(AP386="○",AP386="令和６年度中に満たす"),"入力済","未入力"),"")</f>
        <v/>
      </c>
      <c r="BI386" s="1321" t="str">
        <f>IF(OR(U386="新加算Ⅰ",U386="新加算Ⅱ",U386="新加算Ⅲ",U386="新加算Ⅴ（１）",U386="新加算Ⅴ（３）",U386="新加算Ⅴ（８）"),IF(OR(AQ386="○",AQ386="令和６年度中に満たす"),"入力済","未入力"),"")</f>
        <v/>
      </c>
      <c r="BJ386" s="1512"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493" t="str">
        <f>IF(OR(U386="新加算Ⅰ",U386="新加算Ⅴ（１）",U386="新加算Ⅴ（２）",U386="新加算Ⅴ（５）",U386="新加算Ⅴ（７）",U386="新加算Ⅴ（10）"),IF(AS386="","未入力","入力済"),"")</f>
        <v/>
      </c>
      <c r="BL386" s="543" t="str">
        <f>G386</f>
        <v/>
      </c>
    </row>
    <row r="387" spans="1:64" ht="15" customHeight="1">
      <c r="A387" s="1226"/>
      <c r="B387" s="1272"/>
      <c r="C387" s="1261"/>
      <c r="D387" s="1261"/>
      <c r="E387" s="1261"/>
      <c r="F387" s="1262"/>
      <c r="G387" s="1266"/>
      <c r="H387" s="1266"/>
      <c r="I387" s="1266"/>
      <c r="J387" s="1372"/>
      <c r="K387" s="1266"/>
      <c r="L387" s="1247"/>
      <c r="M387" s="1250"/>
      <c r="N387" s="1370" t="str">
        <f>IF('別紙様式2-2（４・５月分）'!Q294="","",'別紙様式2-2（４・５月分）'!Q294)</f>
        <v/>
      </c>
      <c r="O387" s="1367"/>
      <c r="P387" s="1383"/>
      <c r="Q387" s="1384"/>
      <c r="R387" s="1385"/>
      <c r="S387" s="1393"/>
      <c r="T387" s="1414"/>
      <c r="U387" s="1416"/>
      <c r="V387" s="1458"/>
      <c r="W387" s="1351"/>
      <c r="X387" s="1353"/>
      <c r="Y387" s="1355"/>
      <c r="Z387" s="1353"/>
      <c r="AA387" s="1355"/>
      <c r="AB387" s="1353"/>
      <c r="AC387" s="1355"/>
      <c r="AD387" s="1353"/>
      <c r="AE387" s="1355"/>
      <c r="AF387" s="1355"/>
      <c r="AG387" s="1355"/>
      <c r="AH387" s="1361"/>
      <c r="AI387" s="1482"/>
      <c r="AJ387" s="1484"/>
      <c r="AK387" s="1486"/>
      <c r="AL387" s="1434"/>
      <c r="AM387" s="1488"/>
      <c r="AN387" s="1503"/>
      <c r="AO387" s="1365"/>
      <c r="AP387" s="1404"/>
      <c r="AQ387" s="1404"/>
      <c r="AR387" s="1490"/>
      <c r="AS387" s="1492"/>
      <c r="AT387" s="1331" t="str">
        <f t="shared" si="337"/>
        <v/>
      </c>
      <c r="AU387" s="651"/>
      <c r="AV387" s="1493"/>
      <c r="AW387" s="1518" t="str">
        <f>IF('別紙様式2-2（４・５月分）'!O294="","",'別紙様式2-2（４・５月分）'!O294)</f>
        <v/>
      </c>
      <c r="AX387" s="1507"/>
      <c r="AY387" s="1506"/>
      <c r="AZ387" s="1321"/>
      <c r="BA387" s="1321"/>
      <c r="BB387" s="1321"/>
      <c r="BC387" s="1321"/>
      <c r="BD387" s="1321"/>
      <c r="BE387" s="1321"/>
      <c r="BF387" s="1321"/>
      <c r="BG387" s="1321"/>
      <c r="BH387" s="1321"/>
      <c r="BI387" s="1321"/>
      <c r="BJ387" s="1512"/>
      <c r="BK387" s="1493"/>
      <c r="BL387" s="543" t="str">
        <f>G386</f>
        <v/>
      </c>
    </row>
    <row r="388" spans="1:64" ht="15" customHeight="1">
      <c r="A388" s="1240"/>
      <c r="B388" s="1272"/>
      <c r="C388" s="1261"/>
      <c r="D388" s="1261"/>
      <c r="E388" s="1261"/>
      <c r="F388" s="1262"/>
      <c r="G388" s="1266"/>
      <c r="H388" s="1266"/>
      <c r="I388" s="1266"/>
      <c r="J388" s="1372"/>
      <c r="K388" s="1266"/>
      <c r="L388" s="1247"/>
      <c r="M388" s="1250"/>
      <c r="N388" s="1371"/>
      <c r="O388" s="1368"/>
      <c r="P388" s="1390" t="s">
        <v>2179</v>
      </c>
      <c r="Q388" s="1386" t="str">
        <f>IFERROR(VLOOKUP('別紙様式2-2（４・５月分）'!AR293,【参考】数式用!$AT$5:$AV$22,3,FALSE),"")</f>
        <v/>
      </c>
      <c r="R388" s="1388" t="s">
        <v>2190</v>
      </c>
      <c r="S388" s="1396" t="str">
        <f>IFERROR(VLOOKUP(K386,【参考】数式用!$A$5:$AB$27,MATCH(Q388,【参考】数式用!$B$4:$AB$4,0)+1,0),"")</f>
        <v/>
      </c>
      <c r="T388" s="1459" t="s">
        <v>217</v>
      </c>
      <c r="U388" s="1461"/>
      <c r="V388" s="1463" t="str">
        <f>IFERROR(VLOOKUP(K386,【参考】数式用!$A$5:$AB$27,MATCH(U388,【参考】数式用!$B$4:$AB$4,0)+1,0),"")</f>
        <v/>
      </c>
      <c r="W388" s="1465" t="s">
        <v>19</v>
      </c>
      <c r="X388" s="1508">
        <v>7</v>
      </c>
      <c r="Y388" s="1407" t="s">
        <v>10</v>
      </c>
      <c r="Z388" s="1508">
        <v>4</v>
      </c>
      <c r="AA388" s="1407" t="s">
        <v>45</v>
      </c>
      <c r="AB388" s="1508">
        <v>8</v>
      </c>
      <c r="AC388" s="1407" t="s">
        <v>10</v>
      </c>
      <c r="AD388" s="1508">
        <v>3</v>
      </c>
      <c r="AE388" s="1407" t="s">
        <v>13</v>
      </c>
      <c r="AF388" s="1407" t="s">
        <v>24</v>
      </c>
      <c r="AG388" s="1407">
        <f>IF(X388&gt;=1,(AB388*12+AD388)-(X388*12+Z388)+1,"")</f>
        <v>12</v>
      </c>
      <c r="AH388" s="1409" t="s">
        <v>38</v>
      </c>
      <c r="AI388" s="1496" t="str">
        <f>IFERROR(ROUNDDOWN(ROUND(L386*V388,0)*M386,0)*AG388,"")</f>
        <v/>
      </c>
      <c r="AJ388" s="1510" t="str">
        <f>IFERROR(ROUNDDOWN(ROUND((L386*(V388-AX386)),0)*M386,0)*AG388,"")</f>
        <v/>
      </c>
      <c r="AK388" s="1494">
        <f>IFERROR(IF(OR(N386="",N387="",N389=""),0,ROUNDDOWN(ROUNDDOWN(ROUND(L386*VLOOKUP(K386,【参考】数式用!$A$5:$AB$27,MATCH("新加算Ⅳ",【参考】数式用!$B$4:$AB$4,0)+1,0),0)*M386,0)*AG388*0.5,0)),"")</f>
        <v>0</v>
      </c>
      <c r="AL388" s="1435" t="str">
        <f t="shared" ref="AL388" si="387">IF(U388&lt;&gt;"","新規に適用","")</f>
        <v/>
      </c>
      <c r="AM388" s="1498">
        <f>IFERROR(IF(OR(N389="ベア加算",N389=""),0, IF(OR(U386="新加算Ⅰ",U386="新加算Ⅱ",U386="新加算Ⅲ",U386="新加算Ⅳ"),0,ROUNDDOWN(ROUND(L386*VLOOKUP(K386,【参考】数式用!$A$5:$I$27,MATCH("ベア加算",【参考】数式用!$B$4:$I$4,0)+1,0),0)*M386,0)*AG388)),"")</f>
        <v>0</v>
      </c>
      <c r="AN388" s="1356" t="str">
        <f t="shared" ref="AN388" si="388">IF(AM388=0,"",IF(AND(U388&lt;&gt;"",AN386=""),"新規に適用",IF(AND(U388&lt;&gt;"",AN386&lt;&gt;""),"継続で適用","")))</f>
        <v/>
      </c>
      <c r="AO388" s="1356" t="str">
        <f>IF(AND(U388&lt;&gt;"",AO386=""),"新規に適用",IF(AND(U388&lt;&gt;"",AO386&lt;&gt;""),"継続で適用",""))</f>
        <v/>
      </c>
      <c r="AP388" s="1358"/>
      <c r="AQ388" s="1356" t="str">
        <f>IF(AND(U388&lt;&gt;"",AQ386=""),"新規に適用",IF(AND(U388&lt;&gt;"",AQ386&lt;&gt;""),"継続で適用",""))</f>
        <v/>
      </c>
      <c r="AR388" s="1344" t="str">
        <f t="shared" si="360"/>
        <v/>
      </c>
      <c r="AS388" s="1356" t="str">
        <f>IF(AND(U388&lt;&gt;"",AS386=""),"新規に適用",IF(AND(U388&lt;&gt;"",AS386&lt;&gt;""),"継続で適用",""))</f>
        <v/>
      </c>
      <c r="AT388" s="1331"/>
      <c r="AU388" s="651"/>
      <c r="AV388" s="1493" t="str">
        <f>IF(K386&lt;&gt;"","V列に色付け","")</f>
        <v/>
      </c>
      <c r="AW388" s="1518"/>
      <c r="AX388" s="1507"/>
      <c r="AY388" s="163"/>
      <c r="AZ388" s="163"/>
      <c r="BA388" s="163"/>
      <c r="BB388" s="163"/>
      <c r="BC388" s="163"/>
      <c r="BD388" s="163"/>
      <c r="BE388" s="163"/>
      <c r="BF388" s="163"/>
      <c r="BG388" s="163"/>
      <c r="BH388" s="163"/>
      <c r="BI388" s="163"/>
      <c r="BJ388" s="163"/>
      <c r="BK388" s="163"/>
      <c r="BL388" s="543" t="str">
        <f>G386</f>
        <v/>
      </c>
    </row>
    <row r="389" spans="1:64" ht="30" customHeight="1" thickBot="1">
      <c r="A389" s="1227"/>
      <c r="B389" s="1376"/>
      <c r="C389" s="1377"/>
      <c r="D389" s="1377"/>
      <c r="E389" s="1377"/>
      <c r="F389" s="1378"/>
      <c r="G389" s="1267"/>
      <c r="H389" s="1267"/>
      <c r="I389" s="1267"/>
      <c r="J389" s="1373"/>
      <c r="K389" s="1267"/>
      <c r="L389" s="1248"/>
      <c r="M389" s="1251"/>
      <c r="N389" s="650" t="str">
        <f>IF('別紙様式2-2（４・５月分）'!Q295="","",'別紙様式2-2（４・５月分）'!Q295)</f>
        <v/>
      </c>
      <c r="O389" s="1369"/>
      <c r="P389" s="1391"/>
      <c r="Q389" s="1387"/>
      <c r="R389" s="1389"/>
      <c r="S389" s="1395"/>
      <c r="T389" s="1460"/>
      <c r="U389" s="1462"/>
      <c r="V389" s="1464"/>
      <c r="W389" s="1466"/>
      <c r="X389" s="1509"/>
      <c r="Y389" s="1408"/>
      <c r="Z389" s="1509"/>
      <c r="AA389" s="1408"/>
      <c r="AB389" s="1509"/>
      <c r="AC389" s="1408"/>
      <c r="AD389" s="1509"/>
      <c r="AE389" s="1408"/>
      <c r="AF389" s="1408"/>
      <c r="AG389" s="1408"/>
      <c r="AH389" s="1410"/>
      <c r="AI389" s="1497"/>
      <c r="AJ389" s="1511"/>
      <c r="AK389" s="1495"/>
      <c r="AL389" s="1436"/>
      <c r="AM389" s="1499"/>
      <c r="AN389" s="1357"/>
      <c r="AO389" s="1357"/>
      <c r="AP389" s="1359"/>
      <c r="AQ389" s="1357"/>
      <c r="AR389" s="1345"/>
      <c r="AS389" s="1357"/>
      <c r="AT389" s="581" t="str">
        <f t="shared" ref="AT389" si="389">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51"/>
      <c r="AV389" s="1493"/>
      <c r="AW389" s="652" t="str">
        <f>IF('別紙様式2-2（４・５月分）'!O295="","",'別紙様式2-2（４・５月分）'!O295)</f>
        <v/>
      </c>
      <c r="AX389" s="1507"/>
      <c r="AY389" s="163"/>
      <c r="AZ389" s="163"/>
      <c r="BA389" s="163"/>
      <c r="BB389" s="163"/>
      <c r="BC389" s="163"/>
      <c r="BD389" s="163"/>
      <c r="BE389" s="163"/>
      <c r="BF389" s="163"/>
      <c r="BG389" s="163"/>
      <c r="BH389" s="163"/>
      <c r="BI389" s="163"/>
      <c r="BJ389" s="163"/>
      <c r="BK389" s="163"/>
      <c r="BL389" s="543" t="str">
        <f>G386</f>
        <v/>
      </c>
    </row>
    <row r="390" spans="1:64" ht="30" customHeight="1">
      <c r="A390" s="1225">
        <v>95</v>
      </c>
      <c r="B390" s="1272" t="str">
        <f>IF(基本情報入力シート!C148="","",基本情報入力シート!C148)</f>
        <v/>
      </c>
      <c r="C390" s="1261"/>
      <c r="D390" s="1261"/>
      <c r="E390" s="1261"/>
      <c r="F390" s="1262"/>
      <c r="G390" s="1266" t="str">
        <f>IF(基本情報入力シート!M148="","",基本情報入力シート!M148)</f>
        <v/>
      </c>
      <c r="H390" s="1266" t="str">
        <f>IF(基本情報入力シート!R148="","",基本情報入力シート!R148)</f>
        <v/>
      </c>
      <c r="I390" s="1266" t="str">
        <f>IF(基本情報入力シート!W148="","",基本情報入力シート!W148)</f>
        <v/>
      </c>
      <c r="J390" s="1372" t="str">
        <f>IF(基本情報入力シート!X148="","",基本情報入力シート!X148)</f>
        <v/>
      </c>
      <c r="K390" s="1266" t="str">
        <f>IF(基本情報入力シート!Y148="","",基本情報入力シート!Y148)</f>
        <v/>
      </c>
      <c r="L390" s="1247" t="str">
        <f>IF(基本情報入力シート!AB148="","",基本情報入力シート!AB148)</f>
        <v/>
      </c>
      <c r="M390" s="1374" t="str">
        <f>IF(基本情報入力シート!AC148="","",基本情報入力シート!AC148)</f>
        <v/>
      </c>
      <c r="N390" s="647" t="str">
        <f>IF('別紙様式2-2（４・５月分）'!Q296="","",'別紙様式2-2（４・５月分）'!Q296)</f>
        <v/>
      </c>
      <c r="O390" s="1366" t="str">
        <f>IF(SUM('別紙様式2-2（４・５月分）'!R296:R298)=0,"",SUM('別紙様式2-2（４・５月分）'!R296:R298))</f>
        <v/>
      </c>
      <c r="P390" s="1380" t="str">
        <f>IFERROR(VLOOKUP('別紙様式2-2（４・５月分）'!AR296,【参考】数式用!$AT$5:$AU$22,2,FALSE),"")</f>
        <v/>
      </c>
      <c r="Q390" s="1381"/>
      <c r="R390" s="1382"/>
      <c r="S390" s="1392" t="str">
        <f>IFERROR(VLOOKUP(K390,【参考】数式用!$A$5:$AB$27,MATCH(P390,【参考】数式用!$B$4:$AB$4,0)+1,0),"")</f>
        <v/>
      </c>
      <c r="T390" s="1413" t="s">
        <v>2173</v>
      </c>
      <c r="U390" s="1415"/>
      <c r="V390" s="1457" t="str">
        <f>IFERROR(VLOOKUP(K390,【参考】数式用!$A$5:$AB$27,MATCH(U390,【参考】数式用!$B$4:$AB$4,0)+1,0),"")</f>
        <v/>
      </c>
      <c r="W390" s="1350" t="s">
        <v>19</v>
      </c>
      <c r="X390" s="1352">
        <v>6</v>
      </c>
      <c r="Y390" s="1354" t="s">
        <v>10</v>
      </c>
      <c r="Z390" s="1352">
        <v>6</v>
      </c>
      <c r="AA390" s="1354" t="s">
        <v>45</v>
      </c>
      <c r="AB390" s="1352">
        <v>7</v>
      </c>
      <c r="AC390" s="1354" t="s">
        <v>10</v>
      </c>
      <c r="AD390" s="1352">
        <v>3</v>
      </c>
      <c r="AE390" s="1354" t="s">
        <v>13</v>
      </c>
      <c r="AF390" s="1354" t="s">
        <v>24</v>
      </c>
      <c r="AG390" s="1354">
        <f>IF(X390&gt;=1,(AB390*12+AD390)-(X390*12+Z390)+1,"")</f>
        <v>10</v>
      </c>
      <c r="AH390" s="1360" t="s">
        <v>38</v>
      </c>
      <c r="AI390" s="1481" t="str">
        <f>IFERROR(ROUNDDOWN(ROUND(L390*V390,0)*M390,0)*AG390,"")</f>
        <v/>
      </c>
      <c r="AJ390" s="1483" t="str">
        <f>IFERROR(ROUNDDOWN(ROUND((L390*(V390-AX390)),0)*M390,0)*AG390,"")</f>
        <v/>
      </c>
      <c r="AK390" s="1485">
        <f>IFERROR(IF(OR(N390="",N391="",N393=""),0,ROUNDDOWN(ROUNDDOWN(ROUND(L390*VLOOKUP(K390,【参考】数式用!$A$5:$AB$27,MATCH("新加算Ⅳ",【参考】数式用!$B$4:$AB$4,0)+1,0),0)*M390,0)*AG390*0.5,0)),"")</f>
        <v>0</v>
      </c>
      <c r="AL390" s="1433"/>
      <c r="AM390" s="1487">
        <f>IFERROR(IF(OR(N393="ベア加算",N393=""),0, IF(OR(U390="新加算Ⅰ",U390="新加算Ⅱ",U390="新加算Ⅲ",U390="新加算Ⅳ"),ROUNDDOWN(ROUND(L390*VLOOKUP(K390,【参考】数式用!$A$5:$I$27,MATCH("ベア加算",【参考】数式用!$B$4:$I$4,0)+1,0),0)*M390,0)*AG390,0)),"")</f>
        <v>0</v>
      </c>
      <c r="AN390" s="1502"/>
      <c r="AO390" s="1364"/>
      <c r="AP390" s="1403"/>
      <c r="AQ390" s="1403"/>
      <c r="AR390" s="1489"/>
      <c r="AS390" s="1491"/>
      <c r="AT390" s="556" t="str">
        <f t="shared" si="335"/>
        <v/>
      </c>
      <c r="AU390" s="651"/>
      <c r="AV390" s="1493" t="str">
        <f>IF(K390&lt;&gt;"","V列に色付け","")</f>
        <v/>
      </c>
      <c r="AW390" s="652" t="str">
        <f>IF('別紙様式2-2（４・５月分）'!O296="","",'別紙様式2-2（４・５月分）'!O296)</f>
        <v/>
      </c>
      <c r="AX390" s="1507" t="str">
        <f>IF(SUM('別紙様式2-2（４・５月分）'!P296:P298)=0,"",SUM('別紙様式2-2（４・５月分）'!P296:P298))</f>
        <v/>
      </c>
      <c r="AY390" s="1506" t="str">
        <f>IFERROR(VLOOKUP(K390,【参考】数式用!$AJ$2:$AK$24,2,FALSE),"")</f>
        <v/>
      </c>
      <c r="AZ390" s="1321" t="s">
        <v>2098</v>
      </c>
      <c r="BA390" s="1321" t="s">
        <v>2099</v>
      </c>
      <c r="BB390" s="1321" t="s">
        <v>2100</v>
      </c>
      <c r="BC390" s="1321" t="s">
        <v>2101</v>
      </c>
      <c r="BD390" s="1321" t="str">
        <f>IF(AND(P390&lt;&gt;"新加算Ⅰ",P390&lt;&gt;"新加算Ⅱ",P390&lt;&gt;"新加算Ⅲ",P390&lt;&gt;"新加算Ⅳ"),P390,IF(Q392&lt;&gt;"",Q392,""))</f>
        <v/>
      </c>
      <c r="BE390" s="1321"/>
      <c r="BF390" s="1321" t="str">
        <f t="shared" ref="BF390" si="390">IF(AM390&lt;&gt;0,IF(AN390="○","入力済","未入力"),"")</f>
        <v/>
      </c>
      <c r="BG390" s="1321"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321" t="str">
        <f>IF(OR(U390="新加算Ⅴ（７）",U390="新加算Ⅴ（９）",U390="新加算Ⅴ（10）",U390="新加算Ⅴ（12）",U390="新加算Ⅴ（13）",U390="新加算Ⅴ（14）"),IF(OR(AP390="○",AP390="令和６年度中に満たす"),"入力済","未入力"),"")</f>
        <v/>
      </c>
      <c r="BI390" s="1321" t="str">
        <f>IF(OR(U390="新加算Ⅰ",U390="新加算Ⅱ",U390="新加算Ⅲ",U390="新加算Ⅴ（１）",U390="新加算Ⅴ（３）",U390="新加算Ⅴ（８）"),IF(OR(AQ390="○",AQ390="令和６年度中に満たす"),"入力済","未入力"),"")</f>
        <v/>
      </c>
      <c r="BJ390" s="1512"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493" t="str">
        <f>IF(OR(U390="新加算Ⅰ",U390="新加算Ⅴ（１）",U390="新加算Ⅴ（２）",U390="新加算Ⅴ（５）",U390="新加算Ⅴ（７）",U390="新加算Ⅴ（10）"),IF(AS390="","未入力","入力済"),"")</f>
        <v/>
      </c>
      <c r="BL390" s="543" t="str">
        <f>G390</f>
        <v/>
      </c>
    </row>
    <row r="391" spans="1:64" ht="15" customHeight="1">
      <c r="A391" s="1226"/>
      <c r="B391" s="1272"/>
      <c r="C391" s="1261"/>
      <c r="D391" s="1261"/>
      <c r="E391" s="1261"/>
      <c r="F391" s="1262"/>
      <c r="G391" s="1266"/>
      <c r="H391" s="1266"/>
      <c r="I391" s="1266"/>
      <c r="J391" s="1372"/>
      <c r="K391" s="1266"/>
      <c r="L391" s="1247"/>
      <c r="M391" s="1374"/>
      <c r="N391" s="1370" t="str">
        <f>IF('別紙様式2-2（４・５月分）'!Q297="","",'別紙様式2-2（４・５月分）'!Q297)</f>
        <v/>
      </c>
      <c r="O391" s="1367"/>
      <c r="P391" s="1383"/>
      <c r="Q391" s="1384"/>
      <c r="R391" s="1385"/>
      <c r="S391" s="1393"/>
      <c r="T391" s="1414"/>
      <c r="U391" s="1416"/>
      <c r="V391" s="1458"/>
      <c r="W391" s="1351"/>
      <c r="X391" s="1353"/>
      <c r="Y391" s="1355"/>
      <c r="Z391" s="1353"/>
      <c r="AA391" s="1355"/>
      <c r="AB391" s="1353"/>
      <c r="AC391" s="1355"/>
      <c r="AD391" s="1353"/>
      <c r="AE391" s="1355"/>
      <c r="AF391" s="1355"/>
      <c r="AG391" s="1355"/>
      <c r="AH391" s="1361"/>
      <c r="AI391" s="1482"/>
      <c r="AJ391" s="1484"/>
      <c r="AK391" s="1486"/>
      <c r="AL391" s="1434"/>
      <c r="AM391" s="1488"/>
      <c r="AN391" s="1503"/>
      <c r="AO391" s="1365"/>
      <c r="AP391" s="1404"/>
      <c r="AQ391" s="1404"/>
      <c r="AR391" s="1490"/>
      <c r="AS391" s="1492"/>
      <c r="AT391" s="1331" t="str">
        <f t="shared" si="337"/>
        <v/>
      </c>
      <c r="AU391" s="651"/>
      <c r="AV391" s="1493"/>
      <c r="AW391" s="1518" t="str">
        <f>IF('別紙様式2-2（４・５月分）'!O297="","",'別紙様式2-2（４・５月分）'!O297)</f>
        <v/>
      </c>
      <c r="AX391" s="1507"/>
      <c r="AY391" s="1506"/>
      <c r="AZ391" s="1321"/>
      <c r="BA391" s="1321"/>
      <c r="BB391" s="1321"/>
      <c r="BC391" s="1321"/>
      <c r="BD391" s="1321"/>
      <c r="BE391" s="1321"/>
      <c r="BF391" s="1321"/>
      <c r="BG391" s="1321"/>
      <c r="BH391" s="1321"/>
      <c r="BI391" s="1321"/>
      <c r="BJ391" s="1512"/>
      <c r="BK391" s="1493"/>
      <c r="BL391" s="543" t="str">
        <f>G390</f>
        <v/>
      </c>
    </row>
    <row r="392" spans="1:64" ht="15" customHeight="1">
      <c r="A392" s="1240"/>
      <c r="B392" s="1272"/>
      <c r="C392" s="1261"/>
      <c r="D392" s="1261"/>
      <c r="E392" s="1261"/>
      <c r="F392" s="1262"/>
      <c r="G392" s="1266"/>
      <c r="H392" s="1266"/>
      <c r="I392" s="1266"/>
      <c r="J392" s="1372"/>
      <c r="K392" s="1266"/>
      <c r="L392" s="1247"/>
      <c r="M392" s="1374"/>
      <c r="N392" s="1371"/>
      <c r="O392" s="1368"/>
      <c r="P392" s="1390" t="s">
        <v>2179</v>
      </c>
      <c r="Q392" s="1386" t="str">
        <f>IFERROR(VLOOKUP('別紙様式2-2（４・５月分）'!AR296,【参考】数式用!$AT$5:$AV$22,3,FALSE),"")</f>
        <v/>
      </c>
      <c r="R392" s="1388" t="s">
        <v>2190</v>
      </c>
      <c r="S392" s="1394" t="str">
        <f>IFERROR(VLOOKUP(K390,【参考】数式用!$A$5:$AB$27,MATCH(Q392,【参考】数式用!$B$4:$AB$4,0)+1,0),"")</f>
        <v/>
      </c>
      <c r="T392" s="1459" t="s">
        <v>217</v>
      </c>
      <c r="U392" s="1461"/>
      <c r="V392" s="1463" t="str">
        <f>IFERROR(VLOOKUP(K390,【参考】数式用!$A$5:$AB$27,MATCH(U392,【参考】数式用!$B$4:$AB$4,0)+1,0),"")</f>
        <v/>
      </c>
      <c r="W392" s="1465" t="s">
        <v>19</v>
      </c>
      <c r="X392" s="1508">
        <v>7</v>
      </c>
      <c r="Y392" s="1407" t="s">
        <v>10</v>
      </c>
      <c r="Z392" s="1508">
        <v>4</v>
      </c>
      <c r="AA392" s="1407" t="s">
        <v>45</v>
      </c>
      <c r="AB392" s="1508">
        <v>8</v>
      </c>
      <c r="AC392" s="1407" t="s">
        <v>10</v>
      </c>
      <c r="AD392" s="1508">
        <v>3</v>
      </c>
      <c r="AE392" s="1407" t="s">
        <v>13</v>
      </c>
      <c r="AF392" s="1407" t="s">
        <v>24</v>
      </c>
      <c r="AG392" s="1407">
        <f>IF(X392&gt;=1,(AB392*12+AD392)-(X392*12+Z392)+1,"")</f>
        <v>12</v>
      </c>
      <c r="AH392" s="1409" t="s">
        <v>38</v>
      </c>
      <c r="AI392" s="1496" t="str">
        <f>IFERROR(ROUNDDOWN(ROUND(L390*V392,0)*M390,0)*AG392,"")</f>
        <v/>
      </c>
      <c r="AJ392" s="1510" t="str">
        <f>IFERROR(ROUNDDOWN(ROUND((L390*(V392-AX390)),0)*M390,0)*AG392,"")</f>
        <v/>
      </c>
      <c r="AK392" s="1494">
        <f>IFERROR(IF(OR(N390="",N391="",N393=""),0,ROUNDDOWN(ROUNDDOWN(ROUND(L390*VLOOKUP(K390,【参考】数式用!$A$5:$AB$27,MATCH("新加算Ⅳ",【参考】数式用!$B$4:$AB$4,0)+1,0),0)*M390,0)*AG392*0.5,0)),"")</f>
        <v>0</v>
      </c>
      <c r="AL392" s="1435" t="str">
        <f t="shared" ref="AL392" si="391">IF(U392&lt;&gt;"","新規に適用","")</f>
        <v/>
      </c>
      <c r="AM392" s="1498">
        <f>IFERROR(IF(OR(N393="ベア加算",N393=""),0, IF(OR(U390="新加算Ⅰ",U390="新加算Ⅱ",U390="新加算Ⅲ",U390="新加算Ⅳ"),0,ROUNDDOWN(ROUND(L390*VLOOKUP(K390,【参考】数式用!$A$5:$I$27,MATCH("ベア加算",【参考】数式用!$B$4:$I$4,0)+1,0),0)*M390,0)*AG392)),"")</f>
        <v>0</v>
      </c>
      <c r="AN392" s="1356" t="str">
        <f t="shared" ref="AN392" si="392">IF(AM392=0,"",IF(AND(U392&lt;&gt;"",AN390=""),"新規に適用",IF(AND(U392&lt;&gt;"",AN390&lt;&gt;""),"継続で適用","")))</f>
        <v/>
      </c>
      <c r="AO392" s="1356" t="str">
        <f>IF(AND(U392&lt;&gt;"",AO390=""),"新規に適用",IF(AND(U392&lt;&gt;"",AO390&lt;&gt;""),"継続で適用",""))</f>
        <v/>
      </c>
      <c r="AP392" s="1358"/>
      <c r="AQ392" s="1356" t="str">
        <f>IF(AND(U392&lt;&gt;"",AQ390=""),"新規に適用",IF(AND(U392&lt;&gt;"",AQ390&lt;&gt;""),"継続で適用",""))</f>
        <v/>
      </c>
      <c r="AR392" s="1344" t="str">
        <f t="shared" si="360"/>
        <v/>
      </c>
      <c r="AS392" s="1356" t="str">
        <f>IF(AND(U392&lt;&gt;"",AS390=""),"新規に適用",IF(AND(U392&lt;&gt;"",AS390&lt;&gt;""),"継続で適用",""))</f>
        <v/>
      </c>
      <c r="AT392" s="1331"/>
      <c r="AU392" s="651"/>
      <c r="AV392" s="1493" t="str">
        <f>IF(K390&lt;&gt;"","V列に色付け","")</f>
        <v/>
      </c>
      <c r="AW392" s="1518"/>
      <c r="AX392" s="1507"/>
      <c r="AY392" s="163"/>
      <c r="AZ392" s="163"/>
      <c r="BA392" s="163"/>
      <c r="BB392" s="163"/>
      <c r="BC392" s="163"/>
      <c r="BD392" s="163"/>
      <c r="BE392" s="163"/>
      <c r="BF392" s="163"/>
      <c r="BG392" s="163"/>
      <c r="BH392" s="163"/>
      <c r="BI392" s="163"/>
      <c r="BJ392" s="163"/>
      <c r="BK392" s="163"/>
      <c r="BL392" s="543" t="str">
        <f>G390</f>
        <v/>
      </c>
    </row>
    <row r="393" spans="1:64" ht="30" customHeight="1" thickBot="1">
      <c r="A393" s="1227"/>
      <c r="B393" s="1376"/>
      <c r="C393" s="1377"/>
      <c r="D393" s="1377"/>
      <c r="E393" s="1377"/>
      <c r="F393" s="1378"/>
      <c r="G393" s="1267"/>
      <c r="H393" s="1267"/>
      <c r="I393" s="1267"/>
      <c r="J393" s="1373"/>
      <c r="K393" s="1267"/>
      <c r="L393" s="1248"/>
      <c r="M393" s="1375"/>
      <c r="N393" s="650" t="str">
        <f>IF('別紙様式2-2（４・５月分）'!Q298="","",'別紙様式2-2（４・５月分）'!Q298)</f>
        <v/>
      </c>
      <c r="O393" s="1369"/>
      <c r="P393" s="1391"/>
      <c r="Q393" s="1387"/>
      <c r="R393" s="1389"/>
      <c r="S393" s="1395"/>
      <c r="T393" s="1460"/>
      <c r="U393" s="1462"/>
      <c r="V393" s="1464"/>
      <c r="W393" s="1466"/>
      <c r="X393" s="1509"/>
      <c r="Y393" s="1408"/>
      <c r="Z393" s="1509"/>
      <c r="AA393" s="1408"/>
      <c r="AB393" s="1509"/>
      <c r="AC393" s="1408"/>
      <c r="AD393" s="1509"/>
      <c r="AE393" s="1408"/>
      <c r="AF393" s="1408"/>
      <c r="AG393" s="1408"/>
      <c r="AH393" s="1410"/>
      <c r="AI393" s="1497"/>
      <c r="AJ393" s="1511"/>
      <c r="AK393" s="1495"/>
      <c r="AL393" s="1436"/>
      <c r="AM393" s="1499"/>
      <c r="AN393" s="1357"/>
      <c r="AO393" s="1357"/>
      <c r="AP393" s="1359"/>
      <c r="AQ393" s="1357"/>
      <c r="AR393" s="1345"/>
      <c r="AS393" s="1357"/>
      <c r="AT393" s="581" t="str">
        <f t="shared" ref="AT393" si="393">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51"/>
      <c r="AV393" s="1493"/>
      <c r="AW393" s="652" t="str">
        <f>IF('別紙様式2-2（４・５月分）'!O298="","",'別紙様式2-2（４・５月分）'!O298)</f>
        <v/>
      </c>
      <c r="AX393" s="1507"/>
      <c r="AY393" s="163"/>
      <c r="AZ393" s="163"/>
      <c r="BA393" s="163"/>
      <c r="BB393" s="163"/>
      <c r="BC393" s="163"/>
      <c r="BD393" s="163"/>
      <c r="BE393" s="163"/>
      <c r="BF393" s="163"/>
      <c r="BG393" s="163"/>
      <c r="BH393" s="163"/>
      <c r="BI393" s="163"/>
      <c r="BJ393" s="163"/>
      <c r="BK393" s="163"/>
      <c r="BL393" s="543" t="str">
        <f>G390</f>
        <v/>
      </c>
    </row>
    <row r="394" spans="1:64" ht="30" customHeight="1">
      <c r="A394" s="1241">
        <v>96</v>
      </c>
      <c r="B394" s="1271" t="str">
        <f>IF(基本情報入力シート!C149="","",基本情報入力シート!C149)</f>
        <v/>
      </c>
      <c r="C394" s="1259"/>
      <c r="D394" s="1259"/>
      <c r="E394" s="1259"/>
      <c r="F394" s="1260"/>
      <c r="G394" s="1265" t="str">
        <f>IF(基本情報入力シート!M149="","",基本情報入力シート!M149)</f>
        <v/>
      </c>
      <c r="H394" s="1265" t="str">
        <f>IF(基本情報入力シート!R149="","",基本情報入力シート!R149)</f>
        <v/>
      </c>
      <c r="I394" s="1265" t="str">
        <f>IF(基本情報入力シート!W149="","",基本情報入力シート!W149)</f>
        <v/>
      </c>
      <c r="J394" s="1379" t="str">
        <f>IF(基本情報入力シート!X149="","",基本情報入力シート!X149)</f>
        <v/>
      </c>
      <c r="K394" s="1265" t="str">
        <f>IF(基本情報入力シート!Y149="","",基本情報入力シート!Y149)</f>
        <v/>
      </c>
      <c r="L394" s="1246" t="str">
        <f>IF(基本情報入力シート!AB149="","",基本情報入力シート!AB149)</f>
        <v/>
      </c>
      <c r="M394" s="1249" t="str">
        <f>IF(基本情報入力シート!AC149="","",基本情報入力シート!AC149)</f>
        <v/>
      </c>
      <c r="N394" s="647" t="str">
        <f>IF('別紙様式2-2（４・５月分）'!Q299="","",'別紙様式2-2（４・５月分）'!Q299)</f>
        <v/>
      </c>
      <c r="O394" s="1366" t="str">
        <f>IF(SUM('別紙様式2-2（４・５月分）'!R299:R301)=0,"",SUM('別紙様式2-2（４・５月分）'!R299:R301))</f>
        <v/>
      </c>
      <c r="P394" s="1380" t="str">
        <f>IFERROR(VLOOKUP('別紙様式2-2（４・５月分）'!AR299,【参考】数式用!$AT$5:$AU$22,2,FALSE),"")</f>
        <v/>
      </c>
      <c r="Q394" s="1381"/>
      <c r="R394" s="1382"/>
      <c r="S394" s="1392" t="str">
        <f>IFERROR(VLOOKUP(K394,【参考】数式用!$A$5:$AB$27,MATCH(P394,【参考】数式用!$B$4:$AB$4,0)+1,0),"")</f>
        <v/>
      </c>
      <c r="T394" s="1413" t="s">
        <v>2173</v>
      </c>
      <c r="U394" s="1415"/>
      <c r="V394" s="1457" t="str">
        <f>IFERROR(VLOOKUP(K394,【参考】数式用!$A$5:$AB$27,MATCH(U394,【参考】数式用!$B$4:$AB$4,0)+1,0),"")</f>
        <v/>
      </c>
      <c r="W394" s="1350" t="s">
        <v>19</v>
      </c>
      <c r="X394" s="1352">
        <v>6</v>
      </c>
      <c r="Y394" s="1354" t="s">
        <v>10</v>
      </c>
      <c r="Z394" s="1352">
        <v>6</v>
      </c>
      <c r="AA394" s="1354" t="s">
        <v>45</v>
      </c>
      <c r="AB394" s="1352">
        <v>7</v>
      </c>
      <c r="AC394" s="1354" t="s">
        <v>10</v>
      </c>
      <c r="AD394" s="1352">
        <v>3</v>
      </c>
      <c r="AE394" s="1354" t="s">
        <v>13</v>
      </c>
      <c r="AF394" s="1354" t="s">
        <v>24</v>
      </c>
      <c r="AG394" s="1354">
        <f>IF(X394&gt;=1,(AB394*12+AD394)-(X394*12+Z394)+1,"")</f>
        <v>10</v>
      </c>
      <c r="AH394" s="1360" t="s">
        <v>38</v>
      </c>
      <c r="AI394" s="1481" t="str">
        <f>IFERROR(ROUNDDOWN(ROUND(L394*V394,0)*M394,0)*AG394,"")</f>
        <v/>
      </c>
      <c r="AJ394" s="1483" t="str">
        <f>IFERROR(ROUNDDOWN(ROUND((L394*(V394-AX394)),0)*M394,0)*AG394,"")</f>
        <v/>
      </c>
      <c r="AK394" s="1485">
        <f>IFERROR(IF(OR(N394="",N395="",N397=""),0,ROUNDDOWN(ROUNDDOWN(ROUND(L394*VLOOKUP(K394,【参考】数式用!$A$5:$AB$27,MATCH("新加算Ⅳ",【参考】数式用!$B$4:$AB$4,0)+1,0),0)*M394,0)*AG394*0.5,0)),"")</f>
        <v>0</v>
      </c>
      <c r="AL394" s="1433"/>
      <c r="AM394" s="1487">
        <f>IFERROR(IF(OR(N397="ベア加算",N397=""),0, IF(OR(U394="新加算Ⅰ",U394="新加算Ⅱ",U394="新加算Ⅲ",U394="新加算Ⅳ"),ROUNDDOWN(ROUND(L394*VLOOKUP(K394,【参考】数式用!$A$5:$I$27,MATCH("ベア加算",【参考】数式用!$B$4:$I$4,0)+1,0),0)*M394,0)*AG394,0)),"")</f>
        <v>0</v>
      </c>
      <c r="AN394" s="1502"/>
      <c r="AO394" s="1364"/>
      <c r="AP394" s="1403"/>
      <c r="AQ394" s="1403"/>
      <c r="AR394" s="1489"/>
      <c r="AS394" s="1491"/>
      <c r="AT394" s="556" t="str">
        <f t="shared" si="335"/>
        <v/>
      </c>
      <c r="AU394" s="651"/>
      <c r="AV394" s="1493" t="str">
        <f>IF(K394&lt;&gt;"","V列に色付け","")</f>
        <v/>
      </c>
      <c r="AW394" s="652" t="str">
        <f>IF('別紙様式2-2（４・５月分）'!O299="","",'別紙様式2-2（４・５月分）'!O299)</f>
        <v/>
      </c>
      <c r="AX394" s="1507" t="str">
        <f>IF(SUM('別紙様式2-2（４・５月分）'!P299:P301)=0,"",SUM('別紙様式2-2（４・５月分）'!P299:P301))</f>
        <v/>
      </c>
      <c r="AY394" s="1506" t="str">
        <f>IFERROR(VLOOKUP(K394,【参考】数式用!$AJ$2:$AK$24,2,FALSE),"")</f>
        <v/>
      </c>
      <c r="AZ394" s="1321" t="s">
        <v>2098</v>
      </c>
      <c r="BA394" s="1321" t="s">
        <v>2099</v>
      </c>
      <c r="BB394" s="1321" t="s">
        <v>2100</v>
      </c>
      <c r="BC394" s="1321" t="s">
        <v>2101</v>
      </c>
      <c r="BD394" s="1321" t="str">
        <f>IF(AND(P394&lt;&gt;"新加算Ⅰ",P394&lt;&gt;"新加算Ⅱ",P394&lt;&gt;"新加算Ⅲ",P394&lt;&gt;"新加算Ⅳ"),P394,IF(Q396&lt;&gt;"",Q396,""))</f>
        <v/>
      </c>
      <c r="BE394" s="1321"/>
      <c r="BF394" s="1321" t="str">
        <f t="shared" ref="BF394" si="394">IF(AM394&lt;&gt;0,IF(AN394="○","入力済","未入力"),"")</f>
        <v/>
      </c>
      <c r="BG394" s="1321"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321" t="str">
        <f>IF(OR(U394="新加算Ⅴ（７）",U394="新加算Ⅴ（９）",U394="新加算Ⅴ（10）",U394="新加算Ⅴ（12）",U394="新加算Ⅴ（13）",U394="新加算Ⅴ（14）"),IF(OR(AP394="○",AP394="令和６年度中に満たす"),"入力済","未入力"),"")</f>
        <v/>
      </c>
      <c r="BI394" s="1321" t="str">
        <f>IF(OR(U394="新加算Ⅰ",U394="新加算Ⅱ",U394="新加算Ⅲ",U394="新加算Ⅴ（１）",U394="新加算Ⅴ（３）",U394="新加算Ⅴ（８）"),IF(OR(AQ394="○",AQ394="令和６年度中に満たす"),"入力済","未入力"),"")</f>
        <v/>
      </c>
      <c r="BJ394" s="1512"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493" t="str">
        <f>IF(OR(U394="新加算Ⅰ",U394="新加算Ⅴ（１）",U394="新加算Ⅴ（２）",U394="新加算Ⅴ（５）",U394="新加算Ⅴ（７）",U394="新加算Ⅴ（10）"),IF(AS394="","未入力","入力済"),"")</f>
        <v/>
      </c>
      <c r="BL394" s="543" t="str">
        <f>G394</f>
        <v/>
      </c>
    </row>
    <row r="395" spans="1:64" ht="15" customHeight="1">
      <c r="A395" s="1226"/>
      <c r="B395" s="1272"/>
      <c r="C395" s="1261"/>
      <c r="D395" s="1261"/>
      <c r="E395" s="1261"/>
      <c r="F395" s="1262"/>
      <c r="G395" s="1266"/>
      <c r="H395" s="1266"/>
      <c r="I395" s="1266"/>
      <c r="J395" s="1372"/>
      <c r="K395" s="1266"/>
      <c r="L395" s="1247"/>
      <c r="M395" s="1250"/>
      <c r="N395" s="1370" t="str">
        <f>IF('別紙様式2-2（４・５月分）'!Q300="","",'別紙様式2-2（４・５月分）'!Q300)</f>
        <v/>
      </c>
      <c r="O395" s="1367"/>
      <c r="P395" s="1383"/>
      <c r="Q395" s="1384"/>
      <c r="R395" s="1385"/>
      <c r="S395" s="1393"/>
      <c r="T395" s="1414"/>
      <c r="U395" s="1416"/>
      <c r="V395" s="1458"/>
      <c r="W395" s="1351"/>
      <c r="X395" s="1353"/>
      <c r="Y395" s="1355"/>
      <c r="Z395" s="1353"/>
      <c r="AA395" s="1355"/>
      <c r="AB395" s="1353"/>
      <c r="AC395" s="1355"/>
      <c r="AD395" s="1353"/>
      <c r="AE395" s="1355"/>
      <c r="AF395" s="1355"/>
      <c r="AG395" s="1355"/>
      <c r="AH395" s="1361"/>
      <c r="AI395" s="1482"/>
      <c r="AJ395" s="1484"/>
      <c r="AK395" s="1486"/>
      <c r="AL395" s="1434"/>
      <c r="AM395" s="1488"/>
      <c r="AN395" s="1503"/>
      <c r="AO395" s="1365"/>
      <c r="AP395" s="1404"/>
      <c r="AQ395" s="1404"/>
      <c r="AR395" s="1490"/>
      <c r="AS395" s="1492"/>
      <c r="AT395" s="1331" t="str">
        <f t="shared" si="337"/>
        <v/>
      </c>
      <c r="AU395" s="651"/>
      <c r="AV395" s="1493"/>
      <c r="AW395" s="1518" t="str">
        <f>IF('別紙様式2-2（４・５月分）'!O300="","",'別紙様式2-2（４・５月分）'!O300)</f>
        <v/>
      </c>
      <c r="AX395" s="1507"/>
      <c r="AY395" s="1506"/>
      <c r="AZ395" s="1321"/>
      <c r="BA395" s="1321"/>
      <c r="BB395" s="1321"/>
      <c r="BC395" s="1321"/>
      <c r="BD395" s="1321"/>
      <c r="BE395" s="1321"/>
      <c r="BF395" s="1321"/>
      <c r="BG395" s="1321"/>
      <c r="BH395" s="1321"/>
      <c r="BI395" s="1321"/>
      <c r="BJ395" s="1512"/>
      <c r="BK395" s="1493"/>
      <c r="BL395" s="543" t="str">
        <f>G394</f>
        <v/>
      </c>
    </row>
    <row r="396" spans="1:64" ht="15" customHeight="1">
      <c r="A396" s="1240"/>
      <c r="B396" s="1272"/>
      <c r="C396" s="1261"/>
      <c r="D396" s="1261"/>
      <c r="E396" s="1261"/>
      <c r="F396" s="1262"/>
      <c r="G396" s="1266"/>
      <c r="H396" s="1266"/>
      <c r="I396" s="1266"/>
      <c r="J396" s="1372"/>
      <c r="K396" s="1266"/>
      <c r="L396" s="1247"/>
      <c r="M396" s="1250"/>
      <c r="N396" s="1371"/>
      <c r="O396" s="1368"/>
      <c r="P396" s="1390" t="s">
        <v>2179</v>
      </c>
      <c r="Q396" s="1386" t="str">
        <f>IFERROR(VLOOKUP('別紙様式2-2（４・５月分）'!AR299,【参考】数式用!$AT$5:$AV$22,3,FALSE),"")</f>
        <v/>
      </c>
      <c r="R396" s="1388" t="s">
        <v>2190</v>
      </c>
      <c r="S396" s="1396" t="str">
        <f>IFERROR(VLOOKUP(K394,【参考】数式用!$A$5:$AB$27,MATCH(Q396,【参考】数式用!$B$4:$AB$4,0)+1,0),"")</f>
        <v/>
      </c>
      <c r="T396" s="1459" t="s">
        <v>217</v>
      </c>
      <c r="U396" s="1461"/>
      <c r="V396" s="1463" t="str">
        <f>IFERROR(VLOOKUP(K394,【参考】数式用!$A$5:$AB$27,MATCH(U396,【参考】数式用!$B$4:$AB$4,0)+1,0),"")</f>
        <v/>
      </c>
      <c r="W396" s="1465" t="s">
        <v>19</v>
      </c>
      <c r="X396" s="1508">
        <v>7</v>
      </c>
      <c r="Y396" s="1407" t="s">
        <v>10</v>
      </c>
      <c r="Z396" s="1508">
        <v>4</v>
      </c>
      <c r="AA396" s="1407" t="s">
        <v>45</v>
      </c>
      <c r="AB396" s="1508">
        <v>8</v>
      </c>
      <c r="AC396" s="1407" t="s">
        <v>10</v>
      </c>
      <c r="AD396" s="1508">
        <v>3</v>
      </c>
      <c r="AE396" s="1407" t="s">
        <v>13</v>
      </c>
      <c r="AF396" s="1407" t="s">
        <v>24</v>
      </c>
      <c r="AG396" s="1407">
        <f>IF(X396&gt;=1,(AB396*12+AD396)-(X396*12+Z396)+1,"")</f>
        <v>12</v>
      </c>
      <c r="AH396" s="1409" t="s">
        <v>38</v>
      </c>
      <c r="AI396" s="1496" t="str">
        <f>IFERROR(ROUNDDOWN(ROUND(L394*V396,0)*M394,0)*AG396,"")</f>
        <v/>
      </c>
      <c r="AJ396" s="1510" t="str">
        <f>IFERROR(ROUNDDOWN(ROUND((L394*(V396-AX394)),0)*M394,0)*AG396,"")</f>
        <v/>
      </c>
      <c r="AK396" s="1494">
        <f>IFERROR(IF(OR(N394="",N395="",N397=""),0,ROUNDDOWN(ROUNDDOWN(ROUND(L394*VLOOKUP(K394,【参考】数式用!$A$5:$AB$27,MATCH("新加算Ⅳ",【参考】数式用!$B$4:$AB$4,0)+1,0),0)*M394,0)*AG396*0.5,0)),"")</f>
        <v>0</v>
      </c>
      <c r="AL396" s="1435" t="str">
        <f t="shared" ref="AL396" si="395">IF(U396&lt;&gt;"","新規に適用","")</f>
        <v/>
      </c>
      <c r="AM396" s="1498">
        <f>IFERROR(IF(OR(N397="ベア加算",N397=""),0, IF(OR(U394="新加算Ⅰ",U394="新加算Ⅱ",U394="新加算Ⅲ",U394="新加算Ⅳ"),0,ROUNDDOWN(ROUND(L394*VLOOKUP(K394,【参考】数式用!$A$5:$I$27,MATCH("ベア加算",【参考】数式用!$B$4:$I$4,0)+1,0),0)*M394,0)*AG396)),"")</f>
        <v>0</v>
      </c>
      <c r="AN396" s="1356" t="str">
        <f t="shared" ref="AN396" si="396">IF(AM396=0,"",IF(AND(U396&lt;&gt;"",AN394=""),"新規に適用",IF(AND(U396&lt;&gt;"",AN394&lt;&gt;""),"継続で適用","")))</f>
        <v/>
      </c>
      <c r="AO396" s="1356" t="str">
        <f>IF(AND(U396&lt;&gt;"",AO394=""),"新規に適用",IF(AND(U396&lt;&gt;"",AO394&lt;&gt;""),"継続で適用",""))</f>
        <v/>
      </c>
      <c r="AP396" s="1358"/>
      <c r="AQ396" s="1356" t="str">
        <f>IF(AND(U396&lt;&gt;"",AQ394=""),"新規に適用",IF(AND(U396&lt;&gt;"",AQ394&lt;&gt;""),"継続で適用",""))</f>
        <v/>
      </c>
      <c r="AR396" s="1344" t="str">
        <f t="shared" si="360"/>
        <v/>
      </c>
      <c r="AS396" s="1356" t="str">
        <f>IF(AND(U396&lt;&gt;"",AS394=""),"新規に適用",IF(AND(U396&lt;&gt;"",AS394&lt;&gt;""),"継続で適用",""))</f>
        <v/>
      </c>
      <c r="AT396" s="1331"/>
      <c r="AU396" s="651"/>
      <c r="AV396" s="1493" t="str">
        <f>IF(K394&lt;&gt;"","V列に色付け","")</f>
        <v/>
      </c>
      <c r="AW396" s="1518"/>
      <c r="AX396" s="1507"/>
      <c r="AY396" s="163"/>
      <c r="AZ396" s="163"/>
      <c r="BA396" s="163"/>
      <c r="BB396" s="163"/>
      <c r="BC396" s="163"/>
      <c r="BD396" s="163"/>
      <c r="BE396" s="163"/>
      <c r="BF396" s="163"/>
      <c r="BG396" s="163"/>
      <c r="BH396" s="163"/>
      <c r="BI396" s="163"/>
      <c r="BJ396" s="163"/>
      <c r="BK396" s="163"/>
      <c r="BL396" s="543" t="str">
        <f>G394</f>
        <v/>
      </c>
    </row>
    <row r="397" spans="1:64" ht="30" customHeight="1" thickBot="1">
      <c r="A397" s="1227"/>
      <c r="B397" s="1376"/>
      <c r="C397" s="1377"/>
      <c r="D397" s="1377"/>
      <c r="E397" s="1377"/>
      <c r="F397" s="1378"/>
      <c r="G397" s="1267"/>
      <c r="H397" s="1267"/>
      <c r="I397" s="1267"/>
      <c r="J397" s="1373"/>
      <c r="K397" s="1267"/>
      <c r="L397" s="1248"/>
      <c r="M397" s="1251"/>
      <c r="N397" s="650" t="str">
        <f>IF('別紙様式2-2（４・５月分）'!Q301="","",'別紙様式2-2（４・５月分）'!Q301)</f>
        <v/>
      </c>
      <c r="O397" s="1369"/>
      <c r="P397" s="1391"/>
      <c r="Q397" s="1387"/>
      <c r="R397" s="1389"/>
      <c r="S397" s="1395"/>
      <c r="T397" s="1460"/>
      <c r="U397" s="1462"/>
      <c r="V397" s="1464"/>
      <c r="W397" s="1466"/>
      <c r="X397" s="1509"/>
      <c r="Y397" s="1408"/>
      <c r="Z397" s="1509"/>
      <c r="AA397" s="1408"/>
      <c r="AB397" s="1509"/>
      <c r="AC397" s="1408"/>
      <c r="AD397" s="1509"/>
      <c r="AE397" s="1408"/>
      <c r="AF397" s="1408"/>
      <c r="AG397" s="1408"/>
      <c r="AH397" s="1410"/>
      <c r="AI397" s="1497"/>
      <c r="AJ397" s="1511"/>
      <c r="AK397" s="1495"/>
      <c r="AL397" s="1436"/>
      <c r="AM397" s="1499"/>
      <c r="AN397" s="1357"/>
      <c r="AO397" s="1357"/>
      <c r="AP397" s="1359"/>
      <c r="AQ397" s="1357"/>
      <c r="AR397" s="1345"/>
      <c r="AS397" s="1357"/>
      <c r="AT397" s="581" t="str">
        <f t="shared" ref="AT397" si="397">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51"/>
      <c r="AV397" s="1493"/>
      <c r="AW397" s="652" t="str">
        <f>IF('別紙様式2-2（４・５月分）'!O301="","",'別紙様式2-2（４・５月分）'!O301)</f>
        <v/>
      </c>
      <c r="AX397" s="1507"/>
      <c r="AY397" s="163"/>
      <c r="AZ397" s="163"/>
      <c r="BA397" s="163"/>
      <c r="BB397" s="163"/>
      <c r="BC397" s="163"/>
      <c r="BD397" s="163"/>
      <c r="BE397" s="163"/>
      <c r="BF397" s="163"/>
      <c r="BG397" s="163"/>
      <c r="BH397" s="163"/>
      <c r="BI397" s="163"/>
      <c r="BJ397" s="163"/>
      <c r="BK397" s="163"/>
      <c r="BL397" s="543" t="str">
        <f>G394</f>
        <v/>
      </c>
    </row>
    <row r="398" spans="1:64" ht="30" customHeight="1">
      <c r="A398" s="1225">
        <v>97</v>
      </c>
      <c r="B398" s="1272" t="str">
        <f>IF(基本情報入力シート!C150="","",基本情報入力シート!C150)</f>
        <v/>
      </c>
      <c r="C398" s="1261"/>
      <c r="D398" s="1261"/>
      <c r="E398" s="1261"/>
      <c r="F398" s="1262"/>
      <c r="G398" s="1266" t="str">
        <f>IF(基本情報入力シート!M150="","",基本情報入力シート!M150)</f>
        <v/>
      </c>
      <c r="H398" s="1266" t="str">
        <f>IF(基本情報入力シート!R150="","",基本情報入力シート!R150)</f>
        <v/>
      </c>
      <c r="I398" s="1266" t="str">
        <f>IF(基本情報入力シート!W150="","",基本情報入力シート!W150)</f>
        <v/>
      </c>
      <c r="J398" s="1372" t="str">
        <f>IF(基本情報入力シート!X150="","",基本情報入力シート!X150)</f>
        <v/>
      </c>
      <c r="K398" s="1266" t="str">
        <f>IF(基本情報入力シート!Y150="","",基本情報入力シート!Y150)</f>
        <v/>
      </c>
      <c r="L398" s="1247" t="str">
        <f>IF(基本情報入力シート!AB150="","",基本情報入力シート!AB150)</f>
        <v/>
      </c>
      <c r="M398" s="1374" t="str">
        <f>IF(基本情報入力シート!AC150="","",基本情報入力シート!AC150)</f>
        <v/>
      </c>
      <c r="N398" s="647" t="str">
        <f>IF('別紙様式2-2（４・５月分）'!Q302="","",'別紙様式2-2（４・５月分）'!Q302)</f>
        <v/>
      </c>
      <c r="O398" s="1366" t="str">
        <f>IF(SUM('別紙様式2-2（４・５月分）'!R302:R304)=0,"",SUM('別紙様式2-2（４・５月分）'!R302:R304))</f>
        <v/>
      </c>
      <c r="P398" s="1380" t="str">
        <f>IFERROR(VLOOKUP('別紙様式2-2（４・５月分）'!AR302,【参考】数式用!$AT$5:$AU$22,2,FALSE),"")</f>
        <v/>
      </c>
      <c r="Q398" s="1381"/>
      <c r="R398" s="1382"/>
      <c r="S398" s="1392" t="str">
        <f>IFERROR(VLOOKUP(K398,【参考】数式用!$A$5:$AB$27,MATCH(P398,【参考】数式用!$B$4:$AB$4,0)+1,0),"")</f>
        <v/>
      </c>
      <c r="T398" s="1413" t="s">
        <v>2173</v>
      </c>
      <c r="U398" s="1415"/>
      <c r="V398" s="1457" t="str">
        <f>IFERROR(VLOOKUP(K398,【参考】数式用!$A$5:$AB$27,MATCH(U398,【参考】数式用!$B$4:$AB$4,0)+1,0),"")</f>
        <v/>
      </c>
      <c r="W398" s="1350" t="s">
        <v>19</v>
      </c>
      <c r="X398" s="1352">
        <v>6</v>
      </c>
      <c r="Y398" s="1354" t="s">
        <v>10</v>
      </c>
      <c r="Z398" s="1352">
        <v>6</v>
      </c>
      <c r="AA398" s="1354" t="s">
        <v>45</v>
      </c>
      <c r="AB398" s="1352">
        <v>7</v>
      </c>
      <c r="AC398" s="1354" t="s">
        <v>10</v>
      </c>
      <c r="AD398" s="1352">
        <v>3</v>
      </c>
      <c r="AE398" s="1354" t="s">
        <v>13</v>
      </c>
      <c r="AF398" s="1354" t="s">
        <v>24</v>
      </c>
      <c r="AG398" s="1354">
        <f>IF(X398&gt;=1,(AB398*12+AD398)-(X398*12+Z398)+1,"")</f>
        <v>10</v>
      </c>
      <c r="AH398" s="1360" t="s">
        <v>38</v>
      </c>
      <c r="AI398" s="1481" t="str">
        <f>IFERROR(ROUNDDOWN(ROUND(L398*V398,0)*M398,0)*AG398,"")</f>
        <v/>
      </c>
      <c r="AJ398" s="1483" t="str">
        <f>IFERROR(ROUNDDOWN(ROUND((L398*(V398-AX398)),0)*M398,0)*AG398,"")</f>
        <v/>
      </c>
      <c r="AK398" s="1485">
        <f>IFERROR(IF(OR(N398="",N399="",N401=""),0,ROUNDDOWN(ROUNDDOWN(ROUND(L398*VLOOKUP(K398,【参考】数式用!$A$5:$AB$27,MATCH("新加算Ⅳ",【参考】数式用!$B$4:$AB$4,0)+1,0),0)*M398,0)*AG398*0.5,0)),"")</f>
        <v>0</v>
      </c>
      <c r="AL398" s="1433"/>
      <c r="AM398" s="1487">
        <f>IFERROR(IF(OR(N401="ベア加算",N401=""),0, IF(OR(U398="新加算Ⅰ",U398="新加算Ⅱ",U398="新加算Ⅲ",U398="新加算Ⅳ"),ROUNDDOWN(ROUND(L398*VLOOKUP(K398,【参考】数式用!$A$5:$I$27,MATCH("ベア加算",【参考】数式用!$B$4:$I$4,0)+1,0),0)*M398,0)*AG398,0)),"")</f>
        <v>0</v>
      </c>
      <c r="AN398" s="1502"/>
      <c r="AO398" s="1364"/>
      <c r="AP398" s="1403"/>
      <c r="AQ398" s="1403"/>
      <c r="AR398" s="1489"/>
      <c r="AS398" s="1491"/>
      <c r="AT398" s="556" t="str">
        <f t="shared" si="335"/>
        <v/>
      </c>
      <c r="AU398" s="651"/>
      <c r="AV398" s="1493" t="str">
        <f>IF(K398&lt;&gt;"","V列に色付け","")</f>
        <v/>
      </c>
      <c r="AW398" s="652" t="str">
        <f>IF('別紙様式2-2（４・５月分）'!O302="","",'別紙様式2-2（４・５月分）'!O302)</f>
        <v/>
      </c>
      <c r="AX398" s="1507" t="str">
        <f>IF(SUM('別紙様式2-2（４・５月分）'!P302:P304)=0,"",SUM('別紙様式2-2（４・５月分）'!P302:P304))</f>
        <v/>
      </c>
      <c r="AY398" s="1506" t="str">
        <f>IFERROR(VLOOKUP(K398,【参考】数式用!$AJ$2:$AK$24,2,FALSE),"")</f>
        <v/>
      </c>
      <c r="AZ398" s="1321" t="s">
        <v>2098</v>
      </c>
      <c r="BA398" s="1321" t="s">
        <v>2099</v>
      </c>
      <c r="BB398" s="1321" t="s">
        <v>2100</v>
      </c>
      <c r="BC398" s="1321" t="s">
        <v>2101</v>
      </c>
      <c r="BD398" s="1321" t="str">
        <f>IF(AND(P398&lt;&gt;"新加算Ⅰ",P398&lt;&gt;"新加算Ⅱ",P398&lt;&gt;"新加算Ⅲ",P398&lt;&gt;"新加算Ⅳ"),P398,IF(Q400&lt;&gt;"",Q400,""))</f>
        <v/>
      </c>
      <c r="BE398" s="1321"/>
      <c r="BF398" s="1321" t="str">
        <f t="shared" ref="BF398" si="398">IF(AM398&lt;&gt;0,IF(AN398="○","入力済","未入力"),"")</f>
        <v/>
      </c>
      <c r="BG398" s="1321"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321" t="str">
        <f>IF(OR(U398="新加算Ⅴ（７）",U398="新加算Ⅴ（９）",U398="新加算Ⅴ（10）",U398="新加算Ⅴ（12）",U398="新加算Ⅴ（13）",U398="新加算Ⅴ（14）"),IF(OR(AP398="○",AP398="令和６年度中に満たす"),"入力済","未入力"),"")</f>
        <v/>
      </c>
      <c r="BI398" s="1321" t="str">
        <f>IF(OR(U398="新加算Ⅰ",U398="新加算Ⅱ",U398="新加算Ⅲ",U398="新加算Ⅴ（１）",U398="新加算Ⅴ（３）",U398="新加算Ⅴ（８）"),IF(OR(AQ398="○",AQ398="令和６年度中に満たす"),"入力済","未入力"),"")</f>
        <v/>
      </c>
      <c r="BJ398" s="1512"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493" t="str">
        <f>IF(OR(U398="新加算Ⅰ",U398="新加算Ⅴ（１）",U398="新加算Ⅴ（２）",U398="新加算Ⅴ（５）",U398="新加算Ⅴ（７）",U398="新加算Ⅴ（10）"),IF(AS398="","未入力","入力済"),"")</f>
        <v/>
      </c>
      <c r="BL398" s="543" t="str">
        <f>G398</f>
        <v/>
      </c>
    </row>
    <row r="399" spans="1:64" ht="15" customHeight="1">
      <c r="A399" s="1226"/>
      <c r="B399" s="1272"/>
      <c r="C399" s="1261"/>
      <c r="D399" s="1261"/>
      <c r="E399" s="1261"/>
      <c r="F399" s="1262"/>
      <c r="G399" s="1266"/>
      <c r="H399" s="1266"/>
      <c r="I399" s="1266"/>
      <c r="J399" s="1372"/>
      <c r="K399" s="1266"/>
      <c r="L399" s="1247"/>
      <c r="M399" s="1374"/>
      <c r="N399" s="1370" t="str">
        <f>IF('別紙様式2-2（４・５月分）'!Q303="","",'別紙様式2-2（４・５月分）'!Q303)</f>
        <v/>
      </c>
      <c r="O399" s="1367"/>
      <c r="P399" s="1383"/>
      <c r="Q399" s="1384"/>
      <c r="R399" s="1385"/>
      <c r="S399" s="1393"/>
      <c r="T399" s="1414"/>
      <c r="U399" s="1416"/>
      <c r="V399" s="1458"/>
      <c r="W399" s="1351"/>
      <c r="X399" s="1353"/>
      <c r="Y399" s="1355"/>
      <c r="Z399" s="1353"/>
      <c r="AA399" s="1355"/>
      <c r="AB399" s="1353"/>
      <c r="AC399" s="1355"/>
      <c r="AD399" s="1353"/>
      <c r="AE399" s="1355"/>
      <c r="AF399" s="1355"/>
      <c r="AG399" s="1355"/>
      <c r="AH399" s="1361"/>
      <c r="AI399" s="1482"/>
      <c r="AJ399" s="1484"/>
      <c r="AK399" s="1486"/>
      <c r="AL399" s="1434"/>
      <c r="AM399" s="1488"/>
      <c r="AN399" s="1503"/>
      <c r="AO399" s="1365"/>
      <c r="AP399" s="1404"/>
      <c r="AQ399" s="1404"/>
      <c r="AR399" s="1490"/>
      <c r="AS399" s="1492"/>
      <c r="AT399" s="1331" t="str">
        <f t="shared" si="337"/>
        <v/>
      </c>
      <c r="AU399" s="651"/>
      <c r="AV399" s="1493"/>
      <c r="AW399" s="1518" t="str">
        <f>IF('別紙様式2-2（４・５月分）'!O303="","",'別紙様式2-2（４・５月分）'!O303)</f>
        <v/>
      </c>
      <c r="AX399" s="1507"/>
      <c r="AY399" s="1506"/>
      <c r="AZ399" s="1321"/>
      <c r="BA399" s="1321"/>
      <c r="BB399" s="1321"/>
      <c r="BC399" s="1321"/>
      <c r="BD399" s="1321"/>
      <c r="BE399" s="1321"/>
      <c r="BF399" s="1321"/>
      <c r="BG399" s="1321"/>
      <c r="BH399" s="1321"/>
      <c r="BI399" s="1321"/>
      <c r="BJ399" s="1512"/>
      <c r="BK399" s="1493"/>
      <c r="BL399" s="543" t="str">
        <f>G398</f>
        <v/>
      </c>
    </row>
    <row r="400" spans="1:64" ht="15" customHeight="1">
      <c r="A400" s="1240"/>
      <c r="B400" s="1272"/>
      <c r="C400" s="1261"/>
      <c r="D400" s="1261"/>
      <c r="E400" s="1261"/>
      <c r="F400" s="1262"/>
      <c r="G400" s="1266"/>
      <c r="H400" s="1266"/>
      <c r="I400" s="1266"/>
      <c r="J400" s="1372"/>
      <c r="K400" s="1266"/>
      <c r="L400" s="1247"/>
      <c r="M400" s="1374"/>
      <c r="N400" s="1371"/>
      <c r="O400" s="1368"/>
      <c r="P400" s="1390" t="s">
        <v>2179</v>
      </c>
      <c r="Q400" s="1386" t="str">
        <f>IFERROR(VLOOKUP('別紙様式2-2（４・５月分）'!AR302,【参考】数式用!$AT$5:$AV$22,3,FALSE),"")</f>
        <v/>
      </c>
      <c r="R400" s="1388" t="s">
        <v>2190</v>
      </c>
      <c r="S400" s="1394" t="str">
        <f>IFERROR(VLOOKUP(K398,【参考】数式用!$A$5:$AB$27,MATCH(Q400,【参考】数式用!$B$4:$AB$4,0)+1,0),"")</f>
        <v/>
      </c>
      <c r="T400" s="1459" t="s">
        <v>217</v>
      </c>
      <c r="U400" s="1461"/>
      <c r="V400" s="1463" t="str">
        <f>IFERROR(VLOOKUP(K398,【参考】数式用!$A$5:$AB$27,MATCH(U400,【参考】数式用!$B$4:$AB$4,0)+1,0),"")</f>
        <v/>
      </c>
      <c r="W400" s="1465" t="s">
        <v>19</v>
      </c>
      <c r="X400" s="1508">
        <v>7</v>
      </c>
      <c r="Y400" s="1407" t="s">
        <v>10</v>
      </c>
      <c r="Z400" s="1508">
        <v>4</v>
      </c>
      <c r="AA400" s="1407" t="s">
        <v>45</v>
      </c>
      <c r="AB400" s="1508">
        <v>8</v>
      </c>
      <c r="AC400" s="1407" t="s">
        <v>10</v>
      </c>
      <c r="AD400" s="1508">
        <v>3</v>
      </c>
      <c r="AE400" s="1407" t="s">
        <v>13</v>
      </c>
      <c r="AF400" s="1407" t="s">
        <v>24</v>
      </c>
      <c r="AG400" s="1407">
        <f>IF(X400&gt;=1,(AB400*12+AD400)-(X400*12+Z400)+1,"")</f>
        <v>12</v>
      </c>
      <c r="AH400" s="1409" t="s">
        <v>38</v>
      </c>
      <c r="AI400" s="1496" t="str">
        <f>IFERROR(ROUNDDOWN(ROUND(L398*V400,0)*M398,0)*AG400,"")</f>
        <v/>
      </c>
      <c r="AJ400" s="1510" t="str">
        <f>IFERROR(ROUNDDOWN(ROUND((L398*(V400-AX398)),0)*M398,0)*AG400,"")</f>
        <v/>
      </c>
      <c r="AK400" s="1494">
        <f>IFERROR(IF(OR(N398="",N399="",N401=""),0,ROUNDDOWN(ROUNDDOWN(ROUND(L398*VLOOKUP(K398,【参考】数式用!$A$5:$AB$27,MATCH("新加算Ⅳ",【参考】数式用!$B$4:$AB$4,0)+1,0),0)*M398,0)*AG400*0.5,0)),"")</f>
        <v>0</v>
      </c>
      <c r="AL400" s="1435" t="str">
        <f t="shared" ref="AL400" si="399">IF(U400&lt;&gt;"","新規に適用","")</f>
        <v/>
      </c>
      <c r="AM400" s="1498">
        <f>IFERROR(IF(OR(N401="ベア加算",N401=""),0, IF(OR(U398="新加算Ⅰ",U398="新加算Ⅱ",U398="新加算Ⅲ",U398="新加算Ⅳ"),0,ROUNDDOWN(ROUND(L398*VLOOKUP(K398,【参考】数式用!$A$5:$I$27,MATCH("ベア加算",【参考】数式用!$B$4:$I$4,0)+1,0),0)*M398,0)*AG400)),"")</f>
        <v>0</v>
      </c>
      <c r="AN400" s="1356" t="str">
        <f t="shared" ref="AN400" si="400">IF(AM400=0,"",IF(AND(U400&lt;&gt;"",AN398=""),"新規に適用",IF(AND(U400&lt;&gt;"",AN398&lt;&gt;""),"継続で適用","")))</f>
        <v/>
      </c>
      <c r="AO400" s="1356" t="str">
        <f>IF(AND(U400&lt;&gt;"",AO398=""),"新規に適用",IF(AND(U400&lt;&gt;"",AO398&lt;&gt;""),"継続で適用",""))</f>
        <v/>
      </c>
      <c r="AP400" s="1358"/>
      <c r="AQ400" s="1356" t="str">
        <f>IF(AND(U400&lt;&gt;"",AQ398=""),"新規に適用",IF(AND(U400&lt;&gt;"",AQ398&lt;&gt;""),"継続で適用",""))</f>
        <v/>
      </c>
      <c r="AR400" s="1344" t="str">
        <f t="shared" si="360"/>
        <v/>
      </c>
      <c r="AS400" s="1356" t="str">
        <f>IF(AND(U400&lt;&gt;"",AS398=""),"新規に適用",IF(AND(U400&lt;&gt;"",AS398&lt;&gt;""),"継続で適用",""))</f>
        <v/>
      </c>
      <c r="AT400" s="1331"/>
      <c r="AU400" s="651"/>
      <c r="AV400" s="1493" t="str">
        <f>IF(K398&lt;&gt;"","V列に色付け","")</f>
        <v/>
      </c>
      <c r="AW400" s="1518"/>
      <c r="AX400" s="1507"/>
      <c r="AY400" s="163"/>
      <c r="AZ400" s="163"/>
      <c r="BA400" s="163"/>
      <c r="BB400" s="163"/>
      <c r="BC400" s="163"/>
      <c r="BD400" s="163"/>
      <c r="BE400" s="163"/>
      <c r="BF400" s="163"/>
      <c r="BG400" s="163"/>
      <c r="BH400" s="163"/>
      <c r="BI400" s="163"/>
      <c r="BJ400" s="163"/>
      <c r="BK400" s="163"/>
      <c r="BL400" s="543" t="str">
        <f>G398</f>
        <v/>
      </c>
    </row>
    <row r="401" spans="1:64" ht="30" customHeight="1" thickBot="1">
      <c r="A401" s="1227"/>
      <c r="B401" s="1376"/>
      <c r="C401" s="1377"/>
      <c r="D401" s="1377"/>
      <c r="E401" s="1377"/>
      <c r="F401" s="1378"/>
      <c r="G401" s="1267"/>
      <c r="H401" s="1267"/>
      <c r="I401" s="1267"/>
      <c r="J401" s="1373"/>
      <c r="K401" s="1267"/>
      <c r="L401" s="1248"/>
      <c r="M401" s="1375"/>
      <c r="N401" s="650" t="str">
        <f>IF('別紙様式2-2（４・５月分）'!Q304="","",'別紙様式2-2（４・５月分）'!Q304)</f>
        <v/>
      </c>
      <c r="O401" s="1369"/>
      <c r="P401" s="1391"/>
      <c r="Q401" s="1387"/>
      <c r="R401" s="1389"/>
      <c r="S401" s="1395"/>
      <c r="T401" s="1460"/>
      <c r="U401" s="1462"/>
      <c r="V401" s="1464"/>
      <c r="W401" s="1466"/>
      <c r="X401" s="1509"/>
      <c r="Y401" s="1408"/>
      <c r="Z401" s="1509"/>
      <c r="AA401" s="1408"/>
      <c r="AB401" s="1509"/>
      <c r="AC401" s="1408"/>
      <c r="AD401" s="1509"/>
      <c r="AE401" s="1408"/>
      <c r="AF401" s="1408"/>
      <c r="AG401" s="1408"/>
      <c r="AH401" s="1410"/>
      <c r="AI401" s="1497"/>
      <c r="AJ401" s="1511"/>
      <c r="AK401" s="1495"/>
      <c r="AL401" s="1436"/>
      <c r="AM401" s="1499"/>
      <c r="AN401" s="1357"/>
      <c r="AO401" s="1357"/>
      <c r="AP401" s="1359"/>
      <c r="AQ401" s="1357"/>
      <c r="AR401" s="1345"/>
      <c r="AS401" s="1357"/>
      <c r="AT401" s="581" t="str">
        <f t="shared" ref="AT401" si="401">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51"/>
      <c r="AV401" s="1493"/>
      <c r="AW401" s="652" t="str">
        <f>IF('別紙様式2-2（４・５月分）'!O304="","",'別紙様式2-2（４・５月分）'!O304)</f>
        <v/>
      </c>
      <c r="AX401" s="1507"/>
      <c r="AY401" s="163"/>
      <c r="AZ401" s="163"/>
      <c r="BA401" s="163"/>
      <c r="BB401" s="163"/>
      <c r="BC401" s="163"/>
      <c r="BD401" s="163"/>
      <c r="BE401" s="163"/>
      <c r="BF401" s="163"/>
      <c r="BG401" s="163"/>
      <c r="BH401" s="163"/>
      <c r="BI401" s="163"/>
      <c r="BJ401" s="163"/>
      <c r="BK401" s="163"/>
      <c r="BL401" s="543" t="str">
        <f>G398</f>
        <v/>
      </c>
    </row>
    <row r="402" spans="1:64" ht="30" customHeight="1">
      <c r="A402" s="1241">
        <v>98</v>
      </c>
      <c r="B402" s="1271" t="str">
        <f>IF(基本情報入力シート!C151="","",基本情報入力シート!C151)</f>
        <v/>
      </c>
      <c r="C402" s="1259"/>
      <c r="D402" s="1259"/>
      <c r="E402" s="1259"/>
      <c r="F402" s="1260"/>
      <c r="G402" s="1265" t="str">
        <f>IF(基本情報入力シート!M151="","",基本情報入力シート!M151)</f>
        <v/>
      </c>
      <c r="H402" s="1265" t="str">
        <f>IF(基本情報入力シート!R151="","",基本情報入力シート!R151)</f>
        <v/>
      </c>
      <c r="I402" s="1265" t="str">
        <f>IF(基本情報入力シート!W151="","",基本情報入力シート!W151)</f>
        <v/>
      </c>
      <c r="J402" s="1379" t="str">
        <f>IF(基本情報入力シート!X151="","",基本情報入力シート!X151)</f>
        <v/>
      </c>
      <c r="K402" s="1265" t="str">
        <f>IF(基本情報入力シート!Y151="","",基本情報入力シート!Y151)</f>
        <v/>
      </c>
      <c r="L402" s="1246" t="str">
        <f>IF(基本情報入力シート!AB151="","",基本情報入力シート!AB151)</f>
        <v/>
      </c>
      <c r="M402" s="1249" t="str">
        <f>IF(基本情報入力シート!AC151="","",基本情報入力シート!AC151)</f>
        <v/>
      </c>
      <c r="N402" s="647" t="str">
        <f>IF('別紙様式2-2（４・５月分）'!Q305="","",'別紙様式2-2（４・５月分）'!Q305)</f>
        <v/>
      </c>
      <c r="O402" s="1366" t="str">
        <f>IF(SUM('別紙様式2-2（４・５月分）'!R305:R307)=0,"",SUM('別紙様式2-2（４・５月分）'!R305:R307))</f>
        <v/>
      </c>
      <c r="P402" s="1380" t="str">
        <f>IFERROR(VLOOKUP('別紙様式2-2（４・５月分）'!AR305,【参考】数式用!$AT$5:$AU$22,2,FALSE),"")</f>
        <v/>
      </c>
      <c r="Q402" s="1381"/>
      <c r="R402" s="1382"/>
      <c r="S402" s="1392" t="str">
        <f>IFERROR(VLOOKUP(K402,【参考】数式用!$A$5:$AB$27,MATCH(P402,【参考】数式用!$B$4:$AB$4,0)+1,0),"")</f>
        <v/>
      </c>
      <c r="T402" s="1413" t="s">
        <v>2173</v>
      </c>
      <c r="U402" s="1415"/>
      <c r="V402" s="1457" t="str">
        <f>IFERROR(VLOOKUP(K402,【参考】数式用!$A$5:$AB$27,MATCH(U402,【参考】数式用!$B$4:$AB$4,0)+1,0),"")</f>
        <v/>
      </c>
      <c r="W402" s="1350" t="s">
        <v>19</v>
      </c>
      <c r="X402" s="1352">
        <v>6</v>
      </c>
      <c r="Y402" s="1354" t="s">
        <v>10</v>
      </c>
      <c r="Z402" s="1352">
        <v>6</v>
      </c>
      <c r="AA402" s="1354" t="s">
        <v>45</v>
      </c>
      <c r="AB402" s="1352">
        <v>7</v>
      </c>
      <c r="AC402" s="1354" t="s">
        <v>10</v>
      </c>
      <c r="AD402" s="1352">
        <v>3</v>
      </c>
      <c r="AE402" s="1354" t="s">
        <v>13</v>
      </c>
      <c r="AF402" s="1354" t="s">
        <v>24</v>
      </c>
      <c r="AG402" s="1354">
        <f>IF(X402&gt;=1,(AB402*12+AD402)-(X402*12+Z402)+1,"")</f>
        <v>10</v>
      </c>
      <c r="AH402" s="1360" t="s">
        <v>38</v>
      </c>
      <c r="AI402" s="1481" t="str">
        <f>IFERROR(ROUNDDOWN(ROUND(L402*V402,0)*M402,0)*AG402,"")</f>
        <v/>
      </c>
      <c r="AJ402" s="1483" t="str">
        <f>IFERROR(ROUNDDOWN(ROUND((L402*(V402-AX402)),0)*M402,0)*AG402,"")</f>
        <v/>
      </c>
      <c r="AK402" s="1485">
        <f>IFERROR(IF(OR(N402="",N403="",N405=""),0,ROUNDDOWN(ROUNDDOWN(ROUND(L402*VLOOKUP(K402,【参考】数式用!$A$5:$AB$27,MATCH("新加算Ⅳ",【参考】数式用!$B$4:$AB$4,0)+1,0),0)*M402,0)*AG402*0.5,0)),"")</f>
        <v>0</v>
      </c>
      <c r="AL402" s="1433"/>
      <c r="AM402" s="1487">
        <f>IFERROR(IF(OR(N405="ベア加算",N405=""),0, IF(OR(U402="新加算Ⅰ",U402="新加算Ⅱ",U402="新加算Ⅲ",U402="新加算Ⅳ"),ROUNDDOWN(ROUND(L402*VLOOKUP(K402,【参考】数式用!$A$5:$I$27,MATCH("ベア加算",【参考】数式用!$B$4:$I$4,0)+1,0),0)*M402,0)*AG402,0)),"")</f>
        <v>0</v>
      </c>
      <c r="AN402" s="1502"/>
      <c r="AO402" s="1364"/>
      <c r="AP402" s="1403"/>
      <c r="AQ402" s="1403"/>
      <c r="AR402" s="1489"/>
      <c r="AS402" s="1491"/>
      <c r="AT402" s="556" t="str">
        <f t="shared" ref="AT402:AT410" si="402">IF(AV402="","",IF(V402&lt;O402,"！加算の要件上は問題ありませんが、令和６年４・５月と比較して令和６年６月に加算率が下がる計画になっています。",""))</f>
        <v/>
      </c>
      <c r="AU402" s="651"/>
      <c r="AV402" s="1493" t="str">
        <f>IF(K402&lt;&gt;"","V列に色付け","")</f>
        <v/>
      </c>
      <c r="AW402" s="652" t="str">
        <f>IF('別紙様式2-2（４・５月分）'!O305="","",'別紙様式2-2（４・５月分）'!O305)</f>
        <v/>
      </c>
      <c r="AX402" s="1507" t="str">
        <f>IF(SUM('別紙様式2-2（４・５月分）'!P305:P307)=0,"",SUM('別紙様式2-2（４・５月分）'!P305:P307))</f>
        <v/>
      </c>
      <c r="AY402" s="1506" t="str">
        <f>IFERROR(VLOOKUP(K402,【参考】数式用!$AJ$2:$AK$24,2,FALSE),"")</f>
        <v/>
      </c>
      <c r="AZ402" s="1321" t="s">
        <v>2098</v>
      </c>
      <c r="BA402" s="1321" t="s">
        <v>2099</v>
      </c>
      <c r="BB402" s="1321" t="s">
        <v>2100</v>
      </c>
      <c r="BC402" s="1321" t="s">
        <v>2101</v>
      </c>
      <c r="BD402" s="1321" t="str">
        <f>IF(AND(P402&lt;&gt;"新加算Ⅰ",P402&lt;&gt;"新加算Ⅱ",P402&lt;&gt;"新加算Ⅲ",P402&lt;&gt;"新加算Ⅳ"),P402,IF(Q404&lt;&gt;"",Q404,""))</f>
        <v/>
      </c>
      <c r="BE402" s="1321"/>
      <c r="BF402" s="1321" t="str">
        <f t="shared" ref="BF402" si="403">IF(AM402&lt;&gt;0,IF(AN402="○","入力済","未入力"),"")</f>
        <v/>
      </c>
      <c r="BG402" s="1321"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321" t="str">
        <f>IF(OR(U402="新加算Ⅴ（７）",U402="新加算Ⅴ（９）",U402="新加算Ⅴ（10）",U402="新加算Ⅴ（12）",U402="新加算Ⅴ（13）",U402="新加算Ⅴ（14）"),IF(OR(AP402="○",AP402="令和６年度中に満たす"),"入力済","未入力"),"")</f>
        <v/>
      </c>
      <c r="BI402" s="1321" t="str">
        <f>IF(OR(U402="新加算Ⅰ",U402="新加算Ⅱ",U402="新加算Ⅲ",U402="新加算Ⅴ（１）",U402="新加算Ⅴ（３）",U402="新加算Ⅴ（８）"),IF(OR(AQ402="○",AQ402="令和６年度中に満たす"),"入力済","未入力"),"")</f>
        <v/>
      </c>
      <c r="BJ402" s="1512"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493" t="str">
        <f>IF(OR(U402="新加算Ⅰ",U402="新加算Ⅴ（１）",U402="新加算Ⅴ（２）",U402="新加算Ⅴ（５）",U402="新加算Ⅴ（７）",U402="新加算Ⅴ（10）"),IF(AS402="","未入力","入力済"),"")</f>
        <v/>
      </c>
      <c r="BL402" s="543" t="str">
        <f>G402</f>
        <v/>
      </c>
    </row>
    <row r="403" spans="1:64" ht="15" customHeight="1">
      <c r="A403" s="1226"/>
      <c r="B403" s="1272"/>
      <c r="C403" s="1261"/>
      <c r="D403" s="1261"/>
      <c r="E403" s="1261"/>
      <c r="F403" s="1262"/>
      <c r="G403" s="1266"/>
      <c r="H403" s="1266"/>
      <c r="I403" s="1266"/>
      <c r="J403" s="1372"/>
      <c r="K403" s="1266"/>
      <c r="L403" s="1247"/>
      <c r="M403" s="1250"/>
      <c r="N403" s="1370" t="str">
        <f>IF('別紙様式2-2（４・５月分）'!Q306="","",'別紙様式2-2（４・５月分）'!Q306)</f>
        <v/>
      </c>
      <c r="O403" s="1367"/>
      <c r="P403" s="1383"/>
      <c r="Q403" s="1384"/>
      <c r="R403" s="1385"/>
      <c r="S403" s="1393"/>
      <c r="T403" s="1414"/>
      <c r="U403" s="1416"/>
      <c r="V403" s="1458"/>
      <c r="W403" s="1351"/>
      <c r="X403" s="1353"/>
      <c r="Y403" s="1355"/>
      <c r="Z403" s="1353"/>
      <c r="AA403" s="1355"/>
      <c r="AB403" s="1353"/>
      <c r="AC403" s="1355"/>
      <c r="AD403" s="1353"/>
      <c r="AE403" s="1355"/>
      <c r="AF403" s="1355"/>
      <c r="AG403" s="1355"/>
      <c r="AH403" s="1361"/>
      <c r="AI403" s="1482"/>
      <c r="AJ403" s="1484"/>
      <c r="AK403" s="1486"/>
      <c r="AL403" s="1434"/>
      <c r="AM403" s="1488"/>
      <c r="AN403" s="1503"/>
      <c r="AO403" s="1365"/>
      <c r="AP403" s="1404"/>
      <c r="AQ403" s="1404"/>
      <c r="AR403" s="1490"/>
      <c r="AS403" s="1492"/>
      <c r="AT403" s="1331" t="str">
        <f t="shared" ref="AT403:AT411" si="404">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51"/>
      <c r="AV403" s="1493"/>
      <c r="AW403" s="1518" t="str">
        <f>IF('別紙様式2-2（４・５月分）'!O306="","",'別紙様式2-2（４・５月分）'!O306)</f>
        <v/>
      </c>
      <c r="AX403" s="1507"/>
      <c r="AY403" s="1506"/>
      <c r="AZ403" s="1321"/>
      <c r="BA403" s="1321"/>
      <c r="BB403" s="1321"/>
      <c r="BC403" s="1321"/>
      <c r="BD403" s="1321"/>
      <c r="BE403" s="1321"/>
      <c r="BF403" s="1321"/>
      <c r="BG403" s="1321"/>
      <c r="BH403" s="1321"/>
      <c r="BI403" s="1321"/>
      <c r="BJ403" s="1512"/>
      <c r="BK403" s="1493"/>
      <c r="BL403" s="543" t="str">
        <f>G402</f>
        <v/>
      </c>
    </row>
    <row r="404" spans="1:64" ht="15" customHeight="1">
      <c r="A404" s="1240"/>
      <c r="B404" s="1272"/>
      <c r="C404" s="1261"/>
      <c r="D404" s="1261"/>
      <c r="E404" s="1261"/>
      <c r="F404" s="1262"/>
      <c r="G404" s="1266"/>
      <c r="H404" s="1266"/>
      <c r="I404" s="1266"/>
      <c r="J404" s="1372"/>
      <c r="K404" s="1266"/>
      <c r="L404" s="1247"/>
      <c r="M404" s="1250"/>
      <c r="N404" s="1371"/>
      <c r="O404" s="1368"/>
      <c r="P404" s="1390" t="s">
        <v>2179</v>
      </c>
      <c r="Q404" s="1386" t="str">
        <f>IFERROR(VLOOKUP('別紙様式2-2（４・５月分）'!AR305,【参考】数式用!$AT$5:$AV$22,3,FALSE),"")</f>
        <v/>
      </c>
      <c r="R404" s="1388" t="s">
        <v>2190</v>
      </c>
      <c r="S404" s="1396" t="str">
        <f>IFERROR(VLOOKUP(K402,【参考】数式用!$A$5:$AB$27,MATCH(Q404,【参考】数式用!$B$4:$AB$4,0)+1,0),"")</f>
        <v/>
      </c>
      <c r="T404" s="1459" t="s">
        <v>217</v>
      </c>
      <c r="U404" s="1461"/>
      <c r="V404" s="1463" t="str">
        <f>IFERROR(VLOOKUP(K402,【参考】数式用!$A$5:$AB$27,MATCH(U404,【参考】数式用!$B$4:$AB$4,0)+1,0),"")</f>
        <v/>
      </c>
      <c r="W404" s="1465" t="s">
        <v>19</v>
      </c>
      <c r="X404" s="1508">
        <v>7</v>
      </c>
      <c r="Y404" s="1407" t="s">
        <v>10</v>
      </c>
      <c r="Z404" s="1508">
        <v>4</v>
      </c>
      <c r="AA404" s="1407" t="s">
        <v>45</v>
      </c>
      <c r="AB404" s="1508">
        <v>8</v>
      </c>
      <c r="AC404" s="1407" t="s">
        <v>10</v>
      </c>
      <c r="AD404" s="1508">
        <v>3</v>
      </c>
      <c r="AE404" s="1407" t="s">
        <v>13</v>
      </c>
      <c r="AF404" s="1407" t="s">
        <v>24</v>
      </c>
      <c r="AG404" s="1407">
        <f>IF(X404&gt;=1,(AB404*12+AD404)-(X404*12+Z404)+1,"")</f>
        <v>12</v>
      </c>
      <c r="AH404" s="1409" t="s">
        <v>38</v>
      </c>
      <c r="AI404" s="1496" t="str">
        <f>IFERROR(ROUNDDOWN(ROUND(L402*V404,0)*M402,0)*AG404,"")</f>
        <v/>
      </c>
      <c r="AJ404" s="1510" t="str">
        <f>IFERROR(ROUNDDOWN(ROUND((L402*(V404-AX402)),0)*M402,0)*AG404,"")</f>
        <v/>
      </c>
      <c r="AK404" s="1494">
        <f>IFERROR(IF(OR(N402="",N403="",N405=""),0,ROUNDDOWN(ROUNDDOWN(ROUND(L402*VLOOKUP(K402,【参考】数式用!$A$5:$AB$27,MATCH("新加算Ⅳ",【参考】数式用!$B$4:$AB$4,0)+1,0),0)*M402,0)*AG404*0.5,0)),"")</f>
        <v>0</v>
      </c>
      <c r="AL404" s="1435" t="str">
        <f t="shared" ref="AL404" si="405">IF(U404&lt;&gt;"","新規に適用","")</f>
        <v/>
      </c>
      <c r="AM404" s="1498">
        <f>IFERROR(IF(OR(N405="ベア加算",N405=""),0, IF(OR(U402="新加算Ⅰ",U402="新加算Ⅱ",U402="新加算Ⅲ",U402="新加算Ⅳ"),0,ROUNDDOWN(ROUND(L402*VLOOKUP(K402,【参考】数式用!$A$5:$I$27,MATCH("ベア加算",【参考】数式用!$B$4:$I$4,0)+1,0),0)*M402,0)*AG404)),"")</f>
        <v>0</v>
      </c>
      <c r="AN404" s="1356" t="str">
        <f t="shared" ref="AN404" si="406">IF(AM404=0,"",IF(AND(U404&lt;&gt;"",AN402=""),"新規に適用",IF(AND(U404&lt;&gt;"",AN402&lt;&gt;""),"継続で適用","")))</f>
        <v/>
      </c>
      <c r="AO404" s="1356" t="str">
        <f>IF(AND(U404&lt;&gt;"",AO402=""),"新規に適用",IF(AND(U404&lt;&gt;"",AO402&lt;&gt;""),"継続で適用",""))</f>
        <v/>
      </c>
      <c r="AP404" s="1358"/>
      <c r="AQ404" s="1356" t="str">
        <f>IF(AND(U404&lt;&gt;"",AQ402=""),"新規に適用",IF(AND(U404&lt;&gt;"",AQ402&lt;&gt;""),"継続で適用",""))</f>
        <v/>
      </c>
      <c r="AR404" s="1344" t="str">
        <f t="shared" si="360"/>
        <v/>
      </c>
      <c r="AS404" s="1356" t="str">
        <f>IF(AND(U404&lt;&gt;"",AS402=""),"新規に適用",IF(AND(U404&lt;&gt;"",AS402&lt;&gt;""),"継続で適用",""))</f>
        <v/>
      </c>
      <c r="AT404" s="1331"/>
      <c r="AU404" s="651"/>
      <c r="AV404" s="1493" t="str">
        <f>IF(K402&lt;&gt;"","V列に色付け","")</f>
        <v/>
      </c>
      <c r="AW404" s="1518"/>
      <c r="AX404" s="1507"/>
      <c r="AY404" s="163"/>
      <c r="AZ404" s="163"/>
      <c r="BA404" s="163"/>
      <c r="BB404" s="163"/>
      <c r="BC404" s="163"/>
      <c r="BD404" s="163"/>
      <c r="BE404" s="163"/>
      <c r="BF404" s="163"/>
      <c r="BG404" s="163"/>
      <c r="BH404" s="163"/>
      <c r="BI404" s="163"/>
      <c r="BJ404" s="163"/>
      <c r="BK404" s="163"/>
      <c r="BL404" s="543" t="str">
        <f>G402</f>
        <v/>
      </c>
    </row>
    <row r="405" spans="1:64" ht="30" customHeight="1" thickBot="1">
      <c r="A405" s="1227"/>
      <c r="B405" s="1376"/>
      <c r="C405" s="1377"/>
      <c r="D405" s="1377"/>
      <c r="E405" s="1377"/>
      <c r="F405" s="1378"/>
      <c r="G405" s="1267"/>
      <c r="H405" s="1267"/>
      <c r="I405" s="1267"/>
      <c r="J405" s="1373"/>
      <c r="K405" s="1267"/>
      <c r="L405" s="1248"/>
      <c r="M405" s="1251"/>
      <c r="N405" s="650" t="str">
        <f>IF('別紙様式2-2（４・５月分）'!Q307="","",'別紙様式2-2（４・５月分）'!Q307)</f>
        <v/>
      </c>
      <c r="O405" s="1369"/>
      <c r="P405" s="1391"/>
      <c r="Q405" s="1387"/>
      <c r="R405" s="1389"/>
      <c r="S405" s="1395"/>
      <c r="T405" s="1460"/>
      <c r="U405" s="1462"/>
      <c r="V405" s="1464"/>
      <c r="W405" s="1466"/>
      <c r="X405" s="1509"/>
      <c r="Y405" s="1408"/>
      <c r="Z405" s="1509"/>
      <c r="AA405" s="1408"/>
      <c r="AB405" s="1509"/>
      <c r="AC405" s="1408"/>
      <c r="AD405" s="1509"/>
      <c r="AE405" s="1408"/>
      <c r="AF405" s="1408"/>
      <c r="AG405" s="1408"/>
      <c r="AH405" s="1410"/>
      <c r="AI405" s="1497"/>
      <c r="AJ405" s="1511"/>
      <c r="AK405" s="1495"/>
      <c r="AL405" s="1436"/>
      <c r="AM405" s="1499"/>
      <c r="AN405" s="1357"/>
      <c r="AO405" s="1357"/>
      <c r="AP405" s="1359"/>
      <c r="AQ405" s="1357"/>
      <c r="AR405" s="1345"/>
      <c r="AS405" s="1357"/>
      <c r="AT405" s="581" t="str">
        <f t="shared" ref="AT405" si="407">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51"/>
      <c r="AV405" s="1493"/>
      <c r="AW405" s="652" t="str">
        <f>IF('別紙様式2-2（４・５月分）'!O307="","",'別紙様式2-2（４・５月分）'!O307)</f>
        <v/>
      </c>
      <c r="AX405" s="1507"/>
      <c r="AY405" s="163"/>
      <c r="AZ405" s="163"/>
      <c r="BA405" s="163"/>
      <c r="BB405" s="163"/>
      <c r="BC405" s="163"/>
      <c r="BD405" s="163"/>
      <c r="BE405" s="163"/>
      <c r="BF405" s="163"/>
      <c r="BG405" s="163"/>
      <c r="BH405" s="163"/>
      <c r="BI405" s="163"/>
      <c r="BJ405" s="163"/>
      <c r="BK405" s="163"/>
      <c r="BL405" s="543" t="str">
        <f>G402</f>
        <v/>
      </c>
    </row>
    <row r="406" spans="1:64" ht="30" customHeight="1">
      <c r="A406" s="1225">
        <v>99</v>
      </c>
      <c r="B406" s="1272" t="str">
        <f>IF(基本情報入力シート!C152="","",基本情報入力シート!C152)</f>
        <v/>
      </c>
      <c r="C406" s="1261"/>
      <c r="D406" s="1261"/>
      <c r="E406" s="1261"/>
      <c r="F406" s="1262"/>
      <c r="G406" s="1266" t="str">
        <f>IF(基本情報入力シート!M152="","",基本情報入力シート!M152)</f>
        <v/>
      </c>
      <c r="H406" s="1266" t="str">
        <f>IF(基本情報入力シート!R152="","",基本情報入力シート!R152)</f>
        <v/>
      </c>
      <c r="I406" s="1266" t="str">
        <f>IF(基本情報入力シート!W152="","",基本情報入力シート!W152)</f>
        <v/>
      </c>
      <c r="J406" s="1372" t="str">
        <f>IF(基本情報入力シート!X152="","",基本情報入力シート!X152)</f>
        <v/>
      </c>
      <c r="K406" s="1266" t="str">
        <f>IF(基本情報入力シート!Y152="","",基本情報入力シート!Y152)</f>
        <v/>
      </c>
      <c r="L406" s="1247" t="str">
        <f>IF(基本情報入力シート!AB152="","",基本情報入力シート!AB152)</f>
        <v/>
      </c>
      <c r="M406" s="1374" t="str">
        <f>IF(基本情報入力シート!AC152="","",基本情報入力シート!AC152)</f>
        <v/>
      </c>
      <c r="N406" s="647" t="str">
        <f>IF('別紙様式2-2（４・５月分）'!Q308="","",'別紙様式2-2（４・５月分）'!Q308)</f>
        <v/>
      </c>
      <c r="O406" s="1366" t="str">
        <f>IF(SUM('別紙様式2-2（４・５月分）'!R308:R310)=0,"",SUM('別紙様式2-2（４・５月分）'!R308:R310))</f>
        <v/>
      </c>
      <c r="P406" s="1380" t="str">
        <f>IFERROR(VLOOKUP('別紙様式2-2（４・５月分）'!AR308,【参考】数式用!$AT$5:$AU$22,2,FALSE),"")</f>
        <v/>
      </c>
      <c r="Q406" s="1381"/>
      <c r="R406" s="1382"/>
      <c r="S406" s="1392" t="str">
        <f>IFERROR(VLOOKUP(K406,【参考】数式用!$A$5:$AB$27,MATCH(P406,【参考】数式用!$B$4:$AB$4,0)+1,0),"")</f>
        <v/>
      </c>
      <c r="T406" s="1413" t="s">
        <v>2173</v>
      </c>
      <c r="U406" s="1415"/>
      <c r="V406" s="1457" t="str">
        <f>IFERROR(VLOOKUP(K406,【参考】数式用!$A$5:$AB$27,MATCH(U406,【参考】数式用!$B$4:$AB$4,0)+1,0),"")</f>
        <v/>
      </c>
      <c r="W406" s="1350" t="s">
        <v>19</v>
      </c>
      <c r="X406" s="1352">
        <v>6</v>
      </c>
      <c r="Y406" s="1354" t="s">
        <v>10</v>
      </c>
      <c r="Z406" s="1352">
        <v>6</v>
      </c>
      <c r="AA406" s="1354" t="s">
        <v>45</v>
      </c>
      <c r="AB406" s="1352">
        <v>7</v>
      </c>
      <c r="AC406" s="1354" t="s">
        <v>10</v>
      </c>
      <c r="AD406" s="1352">
        <v>3</v>
      </c>
      <c r="AE406" s="1354" t="s">
        <v>13</v>
      </c>
      <c r="AF406" s="1354" t="s">
        <v>24</v>
      </c>
      <c r="AG406" s="1354">
        <f>IF(X406&gt;=1,(AB406*12+AD406)-(X406*12+Z406)+1,"")</f>
        <v>10</v>
      </c>
      <c r="AH406" s="1360" t="s">
        <v>38</v>
      </c>
      <c r="AI406" s="1481" t="str">
        <f>IFERROR(ROUNDDOWN(ROUND(L406*V406,0)*M406,0)*AG406,"")</f>
        <v/>
      </c>
      <c r="AJ406" s="1483" t="str">
        <f>IFERROR(ROUNDDOWN(ROUND((L406*(V406-AX406)),0)*M406,0)*AG406,"")</f>
        <v/>
      </c>
      <c r="AK406" s="1485">
        <f>IFERROR(IF(OR(N406="",N407="",N409=""),0,ROUNDDOWN(ROUNDDOWN(ROUND(L406*VLOOKUP(K406,【参考】数式用!$A$5:$AB$27,MATCH("新加算Ⅳ",【参考】数式用!$B$4:$AB$4,0)+1,0),0)*M406,0)*AG406*0.5,0)),"")</f>
        <v>0</v>
      </c>
      <c r="AL406" s="1433"/>
      <c r="AM406" s="1487">
        <f>IFERROR(IF(OR(N409="ベア加算",N409=""),0, IF(OR(U406="新加算Ⅰ",U406="新加算Ⅱ",U406="新加算Ⅲ",U406="新加算Ⅳ"),ROUNDDOWN(ROUND(L406*VLOOKUP(K406,【参考】数式用!$A$5:$I$27,MATCH("ベア加算",【参考】数式用!$B$4:$I$4,0)+1,0),0)*M406,0)*AG406,0)),"")</f>
        <v>0</v>
      </c>
      <c r="AN406" s="1502"/>
      <c r="AO406" s="1364"/>
      <c r="AP406" s="1403"/>
      <c r="AQ406" s="1403"/>
      <c r="AR406" s="1489"/>
      <c r="AS406" s="1491"/>
      <c r="AT406" s="556" t="str">
        <f t="shared" si="402"/>
        <v/>
      </c>
      <c r="AU406" s="651"/>
      <c r="AV406" s="1493" t="str">
        <f>IF(K406&lt;&gt;"","V列に色付け","")</f>
        <v/>
      </c>
      <c r="AW406" s="652" t="str">
        <f>IF('別紙様式2-2（４・５月分）'!O308="","",'別紙様式2-2（４・５月分）'!O308)</f>
        <v/>
      </c>
      <c r="AX406" s="1507" t="str">
        <f>IF(SUM('別紙様式2-2（４・５月分）'!P308:P310)=0,"",SUM('別紙様式2-2（４・５月分）'!P308:P310))</f>
        <v/>
      </c>
      <c r="AY406" s="1506" t="str">
        <f>IFERROR(VLOOKUP(K406,【参考】数式用!$AJ$2:$AK$24,2,FALSE),"")</f>
        <v/>
      </c>
      <c r="AZ406" s="1321" t="s">
        <v>2098</v>
      </c>
      <c r="BA406" s="1321" t="s">
        <v>2099</v>
      </c>
      <c r="BB406" s="1321" t="s">
        <v>2100</v>
      </c>
      <c r="BC406" s="1321" t="s">
        <v>2101</v>
      </c>
      <c r="BD406" s="1321" t="str">
        <f>IF(AND(P406&lt;&gt;"新加算Ⅰ",P406&lt;&gt;"新加算Ⅱ",P406&lt;&gt;"新加算Ⅲ",P406&lt;&gt;"新加算Ⅳ"),P406,IF(Q408&lt;&gt;"",Q408,""))</f>
        <v/>
      </c>
      <c r="BE406" s="1321"/>
      <c r="BF406" s="1321" t="str">
        <f t="shared" ref="BF406:BF410" si="408">IF(AM406&lt;&gt;0,IF(AN406="○","入力済","未入力"),"")</f>
        <v/>
      </c>
      <c r="BG406" s="1321"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321" t="str">
        <f>IF(OR(U406="新加算Ⅴ（７）",U406="新加算Ⅴ（９）",U406="新加算Ⅴ（10）",U406="新加算Ⅴ（12）",U406="新加算Ⅴ（13）",U406="新加算Ⅴ（14）"),IF(OR(AP406="○",AP406="令和６年度中に満たす"),"入力済","未入力"),"")</f>
        <v/>
      </c>
      <c r="BI406" s="1321" t="str">
        <f>IF(OR(U406="新加算Ⅰ",U406="新加算Ⅱ",U406="新加算Ⅲ",U406="新加算Ⅴ（１）",U406="新加算Ⅴ（３）",U406="新加算Ⅴ（８）"),IF(OR(AQ406="○",AQ406="令和６年度中に満たす"),"入力済","未入力"),"")</f>
        <v/>
      </c>
      <c r="BJ406" s="1512"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493" t="str">
        <f>IF(OR(U406="新加算Ⅰ",U406="新加算Ⅴ（１）",U406="新加算Ⅴ（２）",U406="新加算Ⅴ（５）",U406="新加算Ⅴ（７）",U406="新加算Ⅴ（10）"),IF(AS406="","未入力","入力済"),"")</f>
        <v/>
      </c>
      <c r="BL406" s="543" t="str">
        <f>G406</f>
        <v/>
      </c>
    </row>
    <row r="407" spans="1:64" ht="15" customHeight="1">
      <c r="A407" s="1226"/>
      <c r="B407" s="1272"/>
      <c r="C407" s="1261"/>
      <c r="D407" s="1261"/>
      <c r="E407" s="1261"/>
      <c r="F407" s="1262"/>
      <c r="G407" s="1266"/>
      <c r="H407" s="1266"/>
      <c r="I407" s="1266"/>
      <c r="J407" s="1372"/>
      <c r="K407" s="1266"/>
      <c r="L407" s="1247"/>
      <c r="M407" s="1374"/>
      <c r="N407" s="1370" t="str">
        <f>IF('別紙様式2-2（４・５月分）'!Q309="","",'別紙様式2-2（４・５月分）'!Q309)</f>
        <v/>
      </c>
      <c r="O407" s="1367"/>
      <c r="P407" s="1383"/>
      <c r="Q407" s="1384"/>
      <c r="R407" s="1385"/>
      <c r="S407" s="1393"/>
      <c r="T407" s="1414"/>
      <c r="U407" s="1416"/>
      <c r="V407" s="1458"/>
      <c r="W407" s="1351"/>
      <c r="X407" s="1353"/>
      <c r="Y407" s="1355"/>
      <c r="Z407" s="1353"/>
      <c r="AA407" s="1355"/>
      <c r="AB407" s="1353"/>
      <c r="AC407" s="1355"/>
      <c r="AD407" s="1353"/>
      <c r="AE407" s="1355"/>
      <c r="AF407" s="1355"/>
      <c r="AG407" s="1355"/>
      <c r="AH407" s="1361"/>
      <c r="AI407" s="1482"/>
      <c r="AJ407" s="1484"/>
      <c r="AK407" s="1486"/>
      <c r="AL407" s="1434"/>
      <c r="AM407" s="1488"/>
      <c r="AN407" s="1503"/>
      <c r="AO407" s="1365"/>
      <c r="AP407" s="1404"/>
      <c r="AQ407" s="1404"/>
      <c r="AR407" s="1490"/>
      <c r="AS407" s="1492"/>
      <c r="AT407" s="1331" t="str">
        <f t="shared" si="404"/>
        <v/>
      </c>
      <c r="AU407" s="651"/>
      <c r="AV407" s="1493"/>
      <c r="AW407" s="1518" t="str">
        <f>IF('別紙様式2-2（４・５月分）'!O309="","",'別紙様式2-2（４・５月分）'!O309)</f>
        <v/>
      </c>
      <c r="AX407" s="1507"/>
      <c r="AY407" s="1506"/>
      <c r="AZ407" s="1321"/>
      <c r="BA407" s="1321"/>
      <c r="BB407" s="1321"/>
      <c r="BC407" s="1321"/>
      <c r="BD407" s="1321"/>
      <c r="BE407" s="1321"/>
      <c r="BF407" s="1321"/>
      <c r="BG407" s="1321"/>
      <c r="BH407" s="1321"/>
      <c r="BI407" s="1321"/>
      <c r="BJ407" s="1512"/>
      <c r="BK407" s="1493"/>
      <c r="BL407" s="543" t="str">
        <f>G406</f>
        <v/>
      </c>
    </row>
    <row r="408" spans="1:64" ht="15" customHeight="1">
      <c r="A408" s="1240"/>
      <c r="B408" s="1272"/>
      <c r="C408" s="1261"/>
      <c r="D408" s="1261"/>
      <c r="E408" s="1261"/>
      <c r="F408" s="1262"/>
      <c r="G408" s="1266"/>
      <c r="H408" s="1266"/>
      <c r="I408" s="1266"/>
      <c r="J408" s="1372"/>
      <c r="K408" s="1266"/>
      <c r="L408" s="1247"/>
      <c r="M408" s="1374"/>
      <c r="N408" s="1371"/>
      <c r="O408" s="1368"/>
      <c r="P408" s="1390" t="s">
        <v>2179</v>
      </c>
      <c r="Q408" s="1386" t="str">
        <f>IFERROR(VLOOKUP('別紙様式2-2（４・５月分）'!AR308,【参考】数式用!$AT$5:$AV$22,3,FALSE),"")</f>
        <v/>
      </c>
      <c r="R408" s="1388" t="s">
        <v>2190</v>
      </c>
      <c r="S408" s="1394" t="str">
        <f>IFERROR(VLOOKUP(K406,【参考】数式用!$A$5:$AB$27,MATCH(Q408,【参考】数式用!$B$4:$AB$4,0)+1,0),"")</f>
        <v/>
      </c>
      <c r="T408" s="1459" t="s">
        <v>217</v>
      </c>
      <c r="U408" s="1461"/>
      <c r="V408" s="1463" t="str">
        <f>IFERROR(VLOOKUP(K406,【参考】数式用!$A$5:$AB$27,MATCH(U408,【参考】数式用!$B$4:$AB$4,0)+1,0),"")</f>
        <v/>
      </c>
      <c r="W408" s="1465" t="s">
        <v>19</v>
      </c>
      <c r="X408" s="1508">
        <v>7</v>
      </c>
      <c r="Y408" s="1407" t="s">
        <v>10</v>
      </c>
      <c r="Z408" s="1508">
        <v>4</v>
      </c>
      <c r="AA408" s="1407" t="s">
        <v>45</v>
      </c>
      <c r="AB408" s="1508">
        <v>8</v>
      </c>
      <c r="AC408" s="1407" t="s">
        <v>10</v>
      </c>
      <c r="AD408" s="1508">
        <v>3</v>
      </c>
      <c r="AE408" s="1407" t="s">
        <v>13</v>
      </c>
      <c r="AF408" s="1407" t="s">
        <v>24</v>
      </c>
      <c r="AG408" s="1407">
        <f>IF(X408&gt;=1,(AB408*12+AD408)-(X408*12+Z408)+1,"")</f>
        <v>12</v>
      </c>
      <c r="AH408" s="1409" t="s">
        <v>38</v>
      </c>
      <c r="AI408" s="1496" t="str">
        <f>IFERROR(ROUNDDOWN(ROUND(L406*V408,0)*M406,0)*AG408,"")</f>
        <v/>
      </c>
      <c r="AJ408" s="1510" t="str">
        <f>IFERROR(ROUNDDOWN(ROUND((L406*(V408-AX406)),0)*M406,0)*AG408,"")</f>
        <v/>
      </c>
      <c r="AK408" s="1494">
        <f>IFERROR(IF(OR(N406="",N407="",N409=""),0,ROUNDDOWN(ROUNDDOWN(ROUND(L406*VLOOKUP(K406,【参考】数式用!$A$5:$AB$27,MATCH("新加算Ⅳ",【参考】数式用!$B$4:$AB$4,0)+1,0),0)*M406,0)*AG408*0.5,0)),"")</f>
        <v>0</v>
      </c>
      <c r="AL408" s="1435" t="str">
        <f t="shared" ref="AL408" si="409">IF(U408&lt;&gt;"","新規に適用","")</f>
        <v/>
      </c>
      <c r="AM408" s="1498">
        <f>IFERROR(IF(OR(N409="ベア加算",N409=""),0, IF(OR(U406="新加算Ⅰ",U406="新加算Ⅱ",U406="新加算Ⅲ",U406="新加算Ⅳ"),0,ROUNDDOWN(ROUND(L406*VLOOKUP(K406,【参考】数式用!$A$5:$I$27,MATCH("ベア加算",【参考】数式用!$B$4:$I$4,0)+1,0),0)*M406,0)*AG408)),"")</f>
        <v>0</v>
      </c>
      <c r="AN408" s="1356" t="str">
        <f t="shared" ref="AN408" si="410">IF(AM408=0,"",IF(AND(U408&lt;&gt;"",AN406=""),"新規に適用",IF(AND(U408&lt;&gt;"",AN406&lt;&gt;""),"継続で適用","")))</f>
        <v/>
      </c>
      <c r="AO408" s="1356" t="str">
        <f>IF(AND(U408&lt;&gt;"",AO406=""),"新規に適用",IF(AND(U408&lt;&gt;"",AO406&lt;&gt;""),"継続で適用",""))</f>
        <v/>
      </c>
      <c r="AP408" s="1358"/>
      <c r="AQ408" s="1356" t="str">
        <f>IF(AND(U408&lt;&gt;"",AQ406=""),"新規に適用",IF(AND(U408&lt;&gt;"",AQ406&lt;&gt;""),"継続で適用",""))</f>
        <v/>
      </c>
      <c r="AR408" s="1344" t="str">
        <f t="shared" si="360"/>
        <v/>
      </c>
      <c r="AS408" s="1356" t="str">
        <f>IF(AND(U408&lt;&gt;"",AS406=""),"新規に適用",IF(AND(U408&lt;&gt;"",AS406&lt;&gt;""),"継続で適用",""))</f>
        <v/>
      </c>
      <c r="AT408" s="1331"/>
      <c r="AU408" s="651"/>
      <c r="AV408" s="1493" t="str">
        <f>IF(K406&lt;&gt;"","V列に色付け","")</f>
        <v/>
      </c>
      <c r="AW408" s="1518"/>
      <c r="AX408" s="1507"/>
      <c r="AY408" s="163"/>
      <c r="AZ408" s="163"/>
      <c r="BA408" s="163"/>
      <c r="BB408" s="163"/>
      <c r="BC408" s="163"/>
      <c r="BD408" s="163"/>
      <c r="BE408" s="163"/>
      <c r="BF408" s="163"/>
      <c r="BG408" s="163"/>
      <c r="BH408" s="163"/>
      <c r="BI408" s="163"/>
      <c r="BJ408" s="163"/>
      <c r="BK408" s="163"/>
      <c r="BL408" s="543" t="str">
        <f>G406</f>
        <v/>
      </c>
    </row>
    <row r="409" spans="1:64" ht="30" customHeight="1" thickBot="1">
      <c r="A409" s="1227"/>
      <c r="B409" s="1376"/>
      <c r="C409" s="1377"/>
      <c r="D409" s="1377"/>
      <c r="E409" s="1377"/>
      <c r="F409" s="1378"/>
      <c r="G409" s="1267"/>
      <c r="H409" s="1267"/>
      <c r="I409" s="1267"/>
      <c r="J409" s="1373"/>
      <c r="K409" s="1267"/>
      <c r="L409" s="1248"/>
      <c r="M409" s="1375"/>
      <c r="N409" s="650" t="str">
        <f>IF('別紙様式2-2（４・５月分）'!Q310="","",'別紙様式2-2（４・５月分）'!Q310)</f>
        <v/>
      </c>
      <c r="O409" s="1369"/>
      <c r="P409" s="1391"/>
      <c r="Q409" s="1387"/>
      <c r="R409" s="1389"/>
      <c r="S409" s="1395"/>
      <c r="T409" s="1460"/>
      <c r="U409" s="1462"/>
      <c r="V409" s="1464"/>
      <c r="W409" s="1466"/>
      <c r="X409" s="1509"/>
      <c r="Y409" s="1408"/>
      <c r="Z409" s="1509"/>
      <c r="AA409" s="1408"/>
      <c r="AB409" s="1509"/>
      <c r="AC409" s="1408"/>
      <c r="AD409" s="1509"/>
      <c r="AE409" s="1408"/>
      <c r="AF409" s="1408"/>
      <c r="AG409" s="1408"/>
      <c r="AH409" s="1410"/>
      <c r="AI409" s="1497"/>
      <c r="AJ409" s="1511"/>
      <c r="AK409" s="1495"/>
      <c r="AL409" s="1436"/>
      <c r="AM409" s="1499"/>
      <c r="AN409" s="1357"/>
      <c r="AO409" s="1357"/>
      <c r="AP409" s="1359"/>
      <c r="AQ409" s="1357"/>
      <c r="AR409" s="1345"/>
      <c r="AS409" s="1357"/>
      <c r="AT409" s="581" t="str">
        <f t="shared" ref="AT409" si="411">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51"/>
      <c r="AV409" s="1493"/>
      <c r="AW409" s="652" t="str">
        <f>IF('別紙様式2-2（４・５月分）'!O310="","",'別紙様式2-2（４・５月分）'!O310)</f>
        <v/>
      </c>
      <c r="AX409" s="1507"/>
      <c r="AY409" s="163"/>
      <c r="AZ409" s="163"/>
      <c r="BA409" s="163"/>
      <c r="BB409" s="163"/>
      <c r="BC409" s="163"/>
      <c r="BD409" s="163"/>
      <c r="BE409" s="163"/>
      <c r="BF409" s="163"/>
      <c r="BG409" s="163"/>
      <c r="BH409" s="163"/>
      <c r="BI409" s="163"/>
      <c r="BJ409" s="163"/>
      <c r="BK409" s="163"/>
      <c r="BL409" s="543" t="str">
        <f>G406</f>
        <v/>
      </c>
    </row>
    <row r="410" spans="1:64" ht="30" customHeight="1">
      <c r="A410" s="1241">
        <v>100</v>
      </c>
      <c r="B410" s="1271" t="str">
        <f>IF(基本情報入力シート!C153="","",基本情報入力シート!C153)</f>
        <v/>
      </c>
      <c r="C410" s="1259"/>
      <c r="D410" s="1259"/>
      <c r="E410" s="1259"/>
      <c r="F410" s="1260"/>
      <c r="G410" s="1265" t="str">
        <f>IF(基本情報入力シート!M153="","",基本情報入力シート!M153)</f>
        <v/>
      </c>
      <c r="H410" s="1265" t="str">
        <f>IF(基本情報入力シート!R153="","",基本情報入力シート!R153)</f>
        <v/>
      </c>
      <c r="I410" s="1265" t="str">
        <f>IF(基本情報入力シート!W153="","",基本情報入力シート!W153)</f>
        <v/>
      </c>
      <c r="J410" s="1379" t="str">
        <f>IF(基本情報入力シート!X153="","",基本情報入力シート!X153)</f>
        <v/>
      </c>
      <c r="K410" s="1265" t="str">
        <f>IF(基本情報入力シート!Y153="","",基本情報入力シート!Y153)</f>
        <v/>
      </c>
      <c r="L410" s="1246" t="str">
        <f>IF(基本情報入力シート!AB153="","",基本情報入力シート!AB153)</f>
        <v/>
      </c>
      <c r="M410" s="1249" t="str">
        <f>IF(基本情報入力シート!AC153="","",基本情報入力シート!AC153)</f>
        <v/>
      </c>
      <c r="N410" s="647" t="str">
        <f>IF('別紙様式2-2（４・５月分）'!Q311="","",'別紙様式2-2（４・５月分）'!Q311)</f>
        <v/>
      </c>
      <c r="O410" s="1366" t="str">
        <f>IF(SUM('別紙様式2-2（４・５月分）'!R311:R313)=0,"",SUM('別紙様式2-2（４・５月分）'!R311:R313))</f>
        <v/>
      </c>
      <c r="P410" s="1380" t="str">
        <f>IFERROR(VLOOKUP('別紙様式2-2（４・５月分）'!AR311,【参考】数式用!$AT$5:$AU$22,2,FALSE),"")</f>
        <v/>
      </c>
      <c r="Q410" s="1381"/>
      <c r="R410" s="1382"/>
      <c r="S410" s="1392" t="str">
        <f>IFERROR(VLOOKUP(K410,【参考】数式用!$A$5:$AB$27,MATCH(P410,【参考】数式用!$B$4:$AB$4,0)+1,0),"")</f>
        <v/>
      </c>
      <c r="T410" s="1413" t="s">
        <v>2173</v>
      </c>
      <c r="U410" s="1415"/>
      <c r="V410" s="1457" t="str">
        <f>IFERROR(VLOOKUP(K410,【参考】数式用!$A$5:$AB$27,MATCH(U410,【参考】数式用!$B$4:$AB$4,0)+1,0),"")</f>
        <v/>
      </c>
      <c r="W410" s="1350" t="s">
        <v>19</v>
      </c>
      <c r="X410" s="1352">
        <v>6</v>
      </c>
      <c r="Y410" s="1354" t="s">
        <v>10</v>
      </c>
      <c r="Z410" s="1352">
        <v>6</v>
      </c>
      <c r="AA410" s="1354" t="s">
        <v>45</v>
      </c>
      <c r="AB410" s="1352">
        <v>7</v>
      </c>
      <c r="AC410" s="1354" t="s">
        <v>10</v>
      </c>
      <c r="AD410" s="1352">
        <v>3</v>
      </c>
      <c r="AE410" s="1354" t="s">
        <v>13</v>
      </c>
      <c r="AF410" s="1354" t="s">
        <v>24</v>
      </c>
      <c r="AG410" s="1354">
        <f>IF(X410&gt;=1,(AB410*12+AD410)-(X410*12+Z410)+1,"")</f>
        <v>10</v>
      </c>
      <c r="AH410" s="1360" t="s">
        <v>38</v>
      </c>
      <c r="AI410" s="1481" t="str">
        <f>IFERROR(ROUNDDOWN(ROUND(L410*V410,0)*M410,0)*AG410,"")</f>
        <v/>
      </c>
      <c r="AJ410" s="1483" t="str">
        <f>IFERROR(ROUNDDOWN(ROUND((L410*(V410-AX410)),0)*M410,0)*AG410,"")</f>
        <v/>
      </c>
      <c r="AK410" s="1485">
        <f>IFERROR(IF(OR(N410="",N411="",N413=""),0,ROUNDDOWN(ROUNDDOWN(ROUND(L410*VLOOKUP(K410,【参考】数式用!$A$5:$AB$27,MATCH("新加算Ⅳ",【参考】数式用!$B$4:$AB$4,0)+1,0),0)*M410,0)*AG410*0.5,0)),"")</f>
        <v>0</v>
      </c>
      <c r="AL410" s="1433"/>
      <c r="AM410" s="1487">
        <f>IFERROR(IF(OR(N413="ベア加算",N413=""),0, IF(OR(U410="新加算Ⅰ",U410="新加算Ⅱ",U410="新加算Ⅲ",U410="新加算Ⅳ"),ROUNDDOWN(ROUND(L410*VLOOKUP(K410,【参考】数式用!$A$5:$I$27,MATCH("ベア加算",【参考】数式用!$B$4:$I$4,0)+1,0),0)*M410,0)*AG410,0)),"")</f>
        <v>0</v>
      </c>
      <c r="AN410" s="1502"/>
      <c r="AO410" s="1364"/>
      <c r="AP410" s="1403"/>
      <c r="AQ410" s="1403"/>
      <c r="AR410" s="1489"/>
      <c r="AS410" s="1491"/>
      <c r="AT410" s="556" t="str">
        <f t="shared" si="402"/>
        <v/>
      </c>
      <c r="AU410" s="651"/>
      <c r="AV410" s="1493" t="str">
        <f>IF(K410&lt;&gt;"","V列に色付け","")</f>
        <v/>
      </c>
      <c r="AW410" s="652" t="str">
        <f>IF('別紙様式2-2（４・５月分）'!O311="","",'別紙様式2-2（４・５月分）'!O311)</f>
        <v/>
      </c>
      <c r="AX410" s="1507" t="str">
        <f>IF(SUM('別紙様式2-2（４・５月分）'!P311:P313)=0,"",SUM('別紙様式2-2（４・５月分）'!P311:P313))</f>
        <v/>
      </c>
      <c r="AY410" s="1506" t="str">
        <f>IFERROR(VLOOKUP(K410,【参考】数式用!$AJ$2:$AK$24,2,FALSE),"")</f>
        <v/>
      </c>
      <c r="AZ410" s="1321" t="s">
        <v>2098</v>
      </c>
      <c r="BA410" s="1321" t="s">
        <v>2099</v>
      </c>
      <c r="BB410" s="1321" t="s">
        <v>2100</v>
      </c>
      <c r="BC410" s="1321" t="s">
        <v>2101</v>
      </c>
      <c r="BD410" s="1321" t="str">
        <f>IF(AND(P410&lt;&gt;"新加算Ⅰ",P410&lt;&gt;"新加算Ⅱ",P410&lt;&gt;"新加算Ⅲ",P410&lt;&gt;"新加算Ⅳ"),P410,IF(Q412&lt;&gt;"",Q412,""))</f>
        <v/>
      </c>
      <c r="BE410" s="1321"/>
      <c r="BF410" s="1321" t="str">
        <f t="shared" si="408"/>
        <v/>
      </c>
      <c r="BG410" s="1321"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321" t="str">
        <f>IF(OR(U410="新加算Ⅴ（７）",U410="新加算Ⅴ（９）",U410="新加算Ⅴ（10）",U410="新加算Ⅴ（12）",U410="新加算Ⅴ（13）",U410="新加算Ⅴ（14）"),IF(OR(AP410="○",AP410="令和６年度中に満たす"),"入力済","未入力"),"")</f>
        <v/>
      </c>
      <c r="BI410" s="1321" t="str">
        <f>IF(OR(U410="新加算Ⅰ",U410="新加算Ⅱ",U410="新加算Ⅲ",U410="新加算Ⅴ（１）",U410="新加算Ⅴ（３）",U410="新加算Ⅴ（８）"),IF(OR(AQ410="○",AQ410="令和６年度中に満たす"),"入力済","未入力"),"")</f>
        <v/>
      </c>
      <c r="BJ410" s="1512"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493" t="str">
        <f>IF(OR(U410="新加算Ⅰ",U410="新加算Ⅴ（１）",U410="新加算Ⅴ（２）",U410="新加算Ⅴ（５）",U410="新加算Ⅴ（７）",U410="新加算Ⅴ（10）"),IF(AS410="","未入力","入力済"),"")</f>
        <v/>
      </c>
      <c r="BL410" s="543" t="str">
        <f>G410</f>
        <v/>
      </c>
    </row>
    <row r="411" spans="1:64" ht="15" customHeight="1">
      <c r="A411" s="1226"/>
      <c r="B411" s="1272"/>
      <c r="C411" s="1261"/>
      <c r="D411" s="1261"/>
      <c r="E411" s="1261"/>
      <c r="F411" s="1262"/>
      <c r="G411" s="1266"/>
      <c r="H411" s="1266"/>
      <c r="I411" s="1266"/>
      <c r="J411" s="1372"/>
      <c r="K411" s="1266"/>
      <c r="L411" s="1247"/>
      <c r="M411" s="1250"/>
      <c r="N411" s="1370" t="str">
        <f>IF('別紙様式2-2（４・５月分）'!Q312="","",'別紙様式2-2（４・５月分）'!Q312)</f>
        <v/>
      </c>
      <c r="O411" s="1367"/>
      <c r="P411" s="1383"/>
      <c r="Q411" s="1384"/>
      <c r="R411" s="1385"/>
      <c r="S411" s="1393"/>
      <c r="T411" s="1414"/>
      <c r="U411" s="1416"/>
      <c r="V411" s="1458"/>
      <c r="W411" s="1351"/>
      <c r="X411" s="1353"/>
      <c r="Y411" s="1355"/>
      <c r="Z411" s="1353"/>
      <c r="AA411" s="1355"/>
      <c r="AB411" s="1353"/>
      <c r="AC411" s="1355"/>
      <c r="AD411" s="1353"/>
      <c r="AE411" s="1355"/>
      <c r="AF411" s="1355"/>
      <c r="AG411" s="1355"/>
      <c r="AH411" s="1361"/>
      <c r="AI411" s="1482"/>
      <c r="AJ411" s="1484"/>
      <c r="AK411" s="1486"/>
      <c r="AL411" s="1434"/>
      <c r="AM411" s="1488"/>
      <c r="AN411" s="1503"/>
      <c r="AO411" s="1365"/>
      <c r="AP411" s="1404"/>
      <c r="AQ411" s="1404"/>
      <c r="AR411" s="1490"/>
      <c r="AS411" s="1492"/>
      <c r="AT411" s="1331" t="str">
        <f t="shared" si="404"/>
        <v/>
      </c>
      <c r="AU411" s="651"/>
      <c r="AV411" s="1493"/>
      <c r="AW411" s="1518" t="str">
        <f>IF('別紙様式2-2（４・５月分）'!O312="","",'別紙様式2-2（４・５月分）'!O312)</f>
        <v/>
      </c>
      <c r="AX411" s="1507"/>
      <c r="AY411" s="1506"/>
      <c r="AZ411" s="1321"/>
      <c r="BA411" s="1321"/>
      <c r="BB411" s="1321"/>
      <c r="BC411" s="1321"/>
      <c r="BD411" s="1321"/>
      <c r="BE411" s="1321"/>
      <c r="BF411" s="1321"/>
      <c r="BG411" s="1321"/>
      <c r="BH411" s="1321"/>
      <c r="BI411" s="1321"/>
      <c r="BJ411" s="1512"/>
      <c r="BK411" s="1493"/>
      <c r="BL411" s="543" t="str">
        <f>G410</f>
        <v/>
      </c>
    </row>
    <row r="412" spans="1:64" ht="15" customHeight="1">
      <c r="A412" s="1240"/>
      <c r="B412" s="1272"/>
      <c r="C412" s="1261"/>
      <c r="D412" s="1261"/>
      <c r="E412" s="1261"/>
      <c r="F412" s="1262"/>
      <c r="G412" s="1266"/>
      <c r="H412" s="1266"/>
      <c r="I412" s="1266"/>
      <c r="J412" s="1372"/>
      <c r="K412" s="1266"/>
      <c r="L412" s="1247"/>
      <c r="M412" s="1250"/>
      <c r="N412" s="1371"/>
      <c r="O412" s="1368"/>
      <c r="P412" s="1390" t="s">
        <v>2179</v>
      </c>
      <c r="Q412" s="1386" t="str">
        <f>IFERROR(VLOOKUP('別紙様式2-2（４・５月分）'!AR311,【参考】数式用!$AT$5:$AV$22,3,FALSE),"")</f>
        <v/>
      </c>
      <c r="R412" s="1388" t="s">
        <v>2190</v>
      </c>
      <c r="S412" s="1396" t="str">
        <f>IFERROR(VLOOKUP(K410,【参考】数式用!$A$5:$AB$27,MATCH(Q412,【参考】数式用!$B$4:$AB$4,0)+1,0),"")</f>
        <v/>
      </c>
      <c r="T412" s="1459" t="s">
        <v>217</v>
      </c>
      <c r="U412" s="1461"/>
      <c r="V412" s="1463" t="str">
        <f>IFERROR(VLOOKUP(K410,【参考】数式用!$A$5:$AB$27,MATCH(U412,【参考】数式用!$B$4:$AB$4,0)+1,0),"")</f>
        <v/>
      </c>
      <c r="W412" s="1465" t="s">
        <v>19</v>
      </c>
      <c r="X412" s="1508">
        <v>7</v>
      </c>
      <c r="Y412" s="1407" t="s">
        <v>10</v>
      </c>
      <c r="Z412" s="1508">
        <v>4</v>
      </c>
      <c r="AA412" s="1407" t="s">
        <v>45</v>
      </c>
      <c r="AB412" s="1508">
        <v>8</v>
      </c>
      <c r="AC412" s="1407" t="s">
        <v>10</v>
      </c>
      <c r="AD412" s="1508">
        <v>3</v>
      </c>
      <c r="AE412" s="1407" t="s">
        <v>13</v>
      </c>
      <c r="AF412" s="1407" t="s">
        <v>24</v>
      </c>
      <c r="AG412" s="1407">
        <f>IF(X412&gt;=1,(AB412*12+AD412)-(X412*12+Z412)+1,"")</f>
        <v>12</v>
      </c>
      <c r="AH412" s="1409" t="s">
        <v>38</v>
      </c>
      <c r="AI412" s="1496" t="str">
        <f>IFERROR(ROUNDDOWN(ROUND(L410*V412,0)*M410,0)*AG412,"")</f>
        <v/>
      </c>
      <c r="AJ412" s="1510" t="str">
        <f>IFERROR(ROUNDDOWN(ROUND((L410*(V412-AX410)),0)*M410,0)*AG412,"")</f>
        <v/>
      </c>
      <c r="AK412" s="1494">
        <f>IFERROR(IF(OR(N410="",N411="",N413=""),0,ROUNDDOWN(ROUNDDOWN(ROUND(L410*VLOOKUP(K410,【参考】数式用!$A$5:$AB$27,MATCH("新加算Ⅳ",【参考】数式用!$B$4:$AB$4,0)+1,0),0)*M410,0)*AG412*0.5,0)),"")</f>
        <v>0</v>
      </c>
      <c r="AL412" s="1435" t="str">
        <f t="shared" ref="AL412" si="412">IF(U412&lt;&gt;"","新規に適用","")</f>
        <v/>
      </c>
      <c r="AM412" s="1498">
        <f>IFERROR(IF(OR(N413="ベア加算",N413=""),0, IF(OR(U410="新加算Ⅰ",U410="新加算Ⅱ",U410="新加算Ⅲ",U410="新加算Ⅳ"),0,ROUNDDOWN(ROUND(L410*VLOOKUP(K410,【参考】数式用!$A$5:$I$27,MATCH("ベア加算",【参考】数式用!$B$4:$I$4,0)+1,0),0)*M410,0)*AG412)),"")</f>
        <v>0</v>
      </c>
      <c r="AN412" s="1356" t="str">
        <f t="shared" ref="AN412" si="413">IF(AM412=0,"",IF(AND(U412&lt;&gt;"",AN410=""),"新規に適用",IF(AND(U412&lt;&gt;"",AN410&lt;&gt;""),"継続で適用","")))</f>
        <v/>
      </c>
      <c r="AO412" s="1356" t="str">
        <f>IF(AND(U412&lt;&gt;"",AO410=""),"新規に適用",IF(AND(U412&lt;&gt;"",AO410&lt;&gt;""),"継続で適用",""))</f>
        <v/>
      </c>
      <c r="AP412" s="1358"/>
      <c r="AQ412" s="1356" t="str">
        <f>IF(AND(U412&lt;&gt;"",AQ410=""),"新規に適用",IF(AND(U412&lt;&gt;"",AQ410&lt;&gt;""),"継続で適用",""))</f>
        <v/>
      </c>
      <c r="AR412" s="1344" t="str">
        <f t="shared" si="360"/>
        <v/>
      </c>
      <c r="AS412" s="1356" t="str">
        <f>IF(AND(U412&lt;&gt;"",AS410=""),"新規に適用",IF(AND(U412&lt;&gt;"",AS410&lt;&gt;""),"継続で適用",""))</f>
        <v/>
      </c>
      <c r="AT412" s="1331"/>
      <c r="AU412" s="651"/>
      <c r="AV412" s="1493" t="str">
        <f>IF(K410&lt;&gt;"","V列に色付け","")</f>
        <v/>
      </c>
      <c r="AW412" s="1518"/>
      <c r="AX412" s="1507"/>
      <c r="AY412" s="163"/>
      <c r="AZ412" s="163"/>
      <c r="BA412" s="163"/>
      <c r="BB412" s="163"/>
      <c r="BC412" s="163"/>
      <c r="BD412" s="163"/>
      <c r="BE412" s="163"/>
      <c r="BF412" s="163"/>
      <c r="BG412" s="163"/>
      <c r="BH412" s="163"/>
      <c r="BI412" s="163"/>
      <c r="BJ412" s="163"/>
      <c r="BK412" s="163"/>
      <c r="BL412" s="543" t="str">
        <f>G410</f>
        <v/>
      </c>
    </row>
    <row r="413" spans="1:64" ht="30" customHeight="1" thickBot="1">
      <c r="A413" s="1227"/>
      <c r="B413" s="1376"/>
      <c r="C413" s="1377"/>
      <c r="D413" s="1377"/>
      <c r="E413" s="1377"/>
      <c r="F413" s="1378"/>
      <c r="G413" s="1267"/>
      <c r="H413" s="1267"/>
      <c r="I413" s="1267"/>
      <c r="J413" s="1373"/>
      <c r="K413" s="1267"/>
      <c r="L413" s="1248"/>
      <c r="M413" s="1251"/>
      <c r="N413" s="650" t="str">
        <f>IF('別紙様式2-2（４・５月分）'!Q313="","",'別紙様式2-2（４・５月分）'!Q313)</f>
        <v/>
      </c>
      <c r="O413" s="1369"/>
      <c r="P413" s="1391"/>
      <c r="Q413" s="1387"/>
      <c r="R413" s="1389"/>
      <c r="S413" s="1395"/>
      <c r="T413" s="1460"/>
      <c r="U413" s="1462"/>
      <c r="V413" s="1464"/>
      <c r="W413" s="1466"/>
      <c r="X413" s="1509"/>
      <c r="Y413" s="1408"/>
      <c r="Z413" s="1509"/>
      <c r="AA413" s="1408"/>
      <c r="AB413" s="1509"/>
      <c r="AC413" s="1408"/>
      <c r="AD413" s="1509"/>
      <c r="AE413" s="1408"/>
      <c r="AF413" s="1408"/>
      <c r="AG413" s="1408"/>
      <c r="AH413" s="1410"/>
      <c r="AI413" s="1497"/>
      <c r="AJ413" s="1511"/>
      <c r="AK413" s="1495"/>
      <c r="AL413" s="1436"/>
      <c r="AM413" s="1499"/>
      <c r="AN413" s="1357"/>
      <c r="AO413" s="1357"/>
      <c r="AP413" s="1359"/>
      <c r="AQ413" s="1357"/>
      <c r="AR413" s="1345"/>
      <c r="AS413" s="1357"/>
      <c r="AT413" s="581" t="str">
        <f t="shared" ref="AT413" si="414">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51"/>
      <c r="AV413" s="1493"/>
      <c r="AW413" s="652" t="str">
        <f>IF('別紙様式2-2（４・５月分）'!O313="","",'別紙様式2-2（４・５月分）'!O313)</f>
        <v/>
      </c>
      <c r="AX413" s="1507"/>
      <c r="AY413" s="163"/>
      <c r="AZ413" s="163"/>
      <c r="BA413" s="163"/>
      <c r="BB413" s="163"/>
      <c r="BC413" s="163"/>
      <c r="BD413" s="163"/>
      <c r="BE413" s="163"/>
      <c r="BF413" s="163"/>
      <c r="BG413" s="163"/>
      <c r="BH413" s="163"/>
      <c r="BI413" s="163"/>
      <c r="BJ413" s="163"/>
      <c r="BK413" s="163"/>
      <c r="BL413" s="543" t="str">
        <f>G410</f>
        <v/>
      </c>
    </row>
  </sheetData>
  <sheetProtection algorithmName="SHA-512" hashValue="MDsgStO/hOleyHxYP1+2gntrbs6g+jLKGp+ETS+lHhF2i6ynvcUSZz1bCH2KsfkAM3bzs14rUCdIVTmxPa+kdQ==" saltValue="TUUtl03DZuMeoXp60RFw+w==" spinCount="100000" sheet="1" formatCells="0" formatColumns="0" formatRows="0" sort="0" autoFilter="0"/>
  <autoFilter ref="A13:BL413" xr:uid="{761CF0A7-3E13-495A-94E5-37F3334B84A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82:AL183"/>
    <mergeCell ref="AL184:AL185"/>
    <mergeCell ref="AL168:AL169"/>
    <mergeCell ref="AL170:AL171"/>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06:AN307"/>
    <mergeCell ref="AN308:AN309"/>
    <mergeCell ref="AN310:AN311"/>
    <mergeCell ref="AM308:AM309"/>
    <mergeCell ref="AM306:AM307"/>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138:AN139"/>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236:AN237"/>
    <mergeCell ref="AN238:AN239"/>
    <mergeCell ref="AN240:AN241"/>
    <mergeCell ref="AN242:AN243"/>
    <mergeCell ref="AN232:AN233"/>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B328:AB329"/>
    <mergeCell ref="AC328:AC329"/>
    <mergeCell ref="AD328:AD329"/>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P326:AP327"/>
    <mergeCell ref="AQ326:AQ327"/>
    <mergeCell ref="AR326:AR327"/>
    <mergeCell ref="AS326:AS327"/>
    <mergeCell ref="AS324:AS32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Z328:Z329"/>
    <mergeCell ref="AA328:AA329"/>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X326:X327"/>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P328:P329"/>
    <mergeCell ref="Q328:Q329"/>
    <mergeCell ref="R328:R329"/>
    <mergeCell ref="S328:S329"/>
    <mergeCell ref="T328:T329"/>
    <mergeCell ref="U328:U329"/>
    <mergeCell ref="V328:V329"/>
    <mergeCell ref="W328:W329"/>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Y322:Y323"/>
    <mergeCell ref="Z322:Z323"/>
    <mergeCell ref="AA322:AA323"/>
    <mergeCell ref="AB322:AB323"/>
    <mergeCell ref="AQ322:AQ323"/>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A318:AA319"/>
    <mergeCell ref="AI320:AI321"/>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L142:AL143"/>
    <mergeCell ref="AL144:AL145"/>
    <mergeCell ref="AL146:AL147"/>
    <mergeCell ref="AS142:AS143"/>
    <mergeCell ref="AE144:AE145"/>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L138:AL139"/>
    <mergeCell ref="AL148:AL149"/>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R142:AR143"/>
    <mergeCell ref="AM142:AM143"/>
    <mergeCell ref="AO142:AO143"/>
    <mergeCell ref="AP142:AP143"/>
    <mergeCell ref="AQ142:AQ143"/>
    <mergeCell ref="AK140:AK141"/>
    <mergeCell ref="AL140:AL141"/>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AK138:AK139"/>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T140:T141"/>
    <mergeCell ref="S132:S133"/>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W132:W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AH132:AH133"/>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xr:uid="{FDD347A3-3C37-421C-8411-22982A189D48}">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xr:uid="{A826CE90-5ABB-4A39-8634-C728A7FE6DC9}">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xr:uid="{5CE824E4-2397-43B8-9DD1-1390F6832B64}">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xr:uid="{83C68AA0-3972-408D-AEAE-D497DB1751F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xr:uid="{E00B36F6-BF2B-49FB-9B12-23EF6C1320BF}">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xr:uid="{2544E444-DE88-484A-968D-583595080413}"/>
  </dataValidations>
  <pageMargins left="0.70866141732283472" right="0.70866141732283472" top="0.74803149606299213" bottom="0.74803149606299213" header="0.31496062992125984" footer="0.31496062992125984"/>
  <pageSetup paperSize="9" scale="33"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r:uid="{86D5B76D-9418-4217-9CE3-B36820279A28}">
          <x14:formula1>
            <xm:f>【参考】数式用!$AM$2:$AM$3</xm:f>
          </x14:formula1>
          <xm:sqref>AP134:AP135 AP82:AP83 AP78:AP79 AP74:AP75 AP70:AP71 AP66:AP67 AP62:AP63 AP58:AP59 AP54:AP55 AP50:AP51 AP46:AP47 AP42:AP43 AP38:AP39 AP30:AP31 AP130:AP131 AP34:AP35 AN14:AN15 AP14:AP15 AP126:AP127 AP122:AP123 AP22:AP23 AP18:AP19 AP118:AP119 AP26:AP27 AP114:AP115 AP110:AP111 AP106:AP107 AP102:AP103 AP98:AP99 AP94:AP95 AP90:AP91 AP86:AP87 AP254:AP255 AP250:AP251 AP246:AP247 AP242:AP243 AP238:AP239 AP234:AP235 AP230:AP231 AP226:AP227 AP222:AP223 AP218:AP219 AP214:AP215 AP210:AP211 AP206:AP207 AP202:AP203 AP198:AP199 AP194:AP195 AP190:AP191 AP186:AP187 AP182:AP183 AP178:AP179 AP174:AP175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AP170:AP171 AP166:AP167 AP162:AP163 AP158:AP159 AP154:AP155 AP150:AP151 AP146:AP147 AP142:AP143 AP138:AP139 AN18:AN19 AN22:AN23 AN26:AN27 AN30:AN31 AN34:AN35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xm:sqref>
        </x14:dataValidation>
        <x14:dataValidation type="list" allowBlank="1" showInputMessage="1" showErrorMessage="1" xr:uid="{E7B5FD0E-3B4F-4B36-A6EB-8803286441D0}">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r:uid="{CB329F56-E438-42AB-9CA1-1D259A8F842A}">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70303-3B42-4951-94A3-1C04BB55D1DF}">
  <sheetPr codeName="Sheet4">
    <pageSetUpPr fitToPage="1"/>
  </sheetPr>
  <dimension ref="A1:BH414"/>
  <sheetViews>
    <sheetView view="pageBreakPreview" zoomScale="60" zoomScaleNormal="85" zoomScalePageLayoutView="70" workbookViewId="0"/>
  </sheetViews>
  <sheetFormatPr defaultColWidth="2.5" defaultRowHeight="17.25"/>
  <cols>
    <col min="1" max="1" width="5.625" style="163" customWidth="1"/>
    <col min="2" max="6" width="2.625" style="598" customWidth="1"/>
    <col min="7" max="7" width="13.125" style="163" customWidth="1"/>
    <col min="8" max="8" width="8.5" style="163" customWidth="1"/>
    <col min="9" max="9" width="9.375" style="680" customWidth="1"/>
    <col min="10" max="10" width="14.5" style="163" customWidth="1"/>
    <col min="11" max="11" width="16.625" style="273" customWidth="1"/>
    <col min="12" max="12" width="14.5" style="603" customWidth="1"/>
    <col min="13" max="13" width="6.625" style="603" customWidth="1"/>
    <col min="14" max="14" width="15" style="603" customWidth="1"/>
    <col min="15" max="15" width="5.875" style="603" customWidth="1"/>
    <col min="16" max="16" width="2.625" style="602" customWidth="1"/>
    <col min="17" max="17" width="15.125" style="602" customWidth="1"/>
    <col min="18" max="18" width="2.375" style="603" customWidth="1"/>
    <col min="19" max="19" width="7.375" style="603" customWidth="1"/>
    <col min="20" max="20" width="18" style="603" customWidth="1"/>
    <col min="21" max="21" width="15.125" style="602" customWidth="1"/>
    <col min="22" max="22" width="7" style="603" customWidth="1"/>
    <col min="23" max="23" width="4.625" style="273" customWidth="1"/>
    <col min="24" max="25" width="2.875" style="273" customWidth="1"/>
    <col min="26" max="26" width="3.625" style="273" customWidth="1"/>
    <col min="27" max="27" width="10" style="273" customWidth="1"/>
    <col min="28" max="29" width="2.875" style="273" customWidth="1"/>
    <col min="30" max="30" width="3.5" style="273" customWidth="1"/>
    <col min="31" max="32" width="2.875" style="273" customWidth="1"/>
    <col min="33" max="33" width="3.625" style="273" customWidth="1"/>
    <col min="34" max="34" width="6.125" style="273" customWidth="1"/>
    <col min="35" max="37" width="14.375" style="603" customWidth="1"/>
    <col min="38" max="38" width="9.125" style="603" customWidth="1"/>
    <col min="39" max="39" width="14.375" style="603" customWidth="1"/>
    <col min="40" max="40" width="8.625" style="603" customWidth="1"/>
    <col min="41" max="41" width="11.375" style="163" customWidth="1"/>
    <col min="42" max="42" width="9.875" style="163" customWidth="1"/>
    <col min="43" max="43" width="11.125" style="431" customWidth="1"/>
    <col min="44" max="44" width="12" style="675" customWidth="1"/>
    <col min="45" max="45" width="21.375" style="431" customWidth="1"/>
    <col min="46" max="46" width="61" style="431" customWidth="1"/>
    <col min="47" max="47" width="8.375" style="431" customWidth="1"/>
    <col min="48" max="48" width="17.875" style="428" customWidth="1"/>
    <col min="49" max="49" width="10.875" style="428" customWidth="1"/>
    <col min="50" max="50" width="6.5" style="428" customWidth="1"/>
    <col min="51" max="51" width="19.625" style="428" customWidth="1"/>
    <col min="52" max="52" width="8.125" style="428" customWidth="1"/>
    <col min="53" max="55" width="7.375" style="428" customWidth="1"/>
    <col min="56" max="56" width="8.625" style="428" customWidth="1"/>
    <col min="57" max="57" width="8.375" style="584" customWidth="1"/>
    <col min="58" max="60" width="7.375" style="428" customWidth="1"/>
    <col min="61" max="63" width="6.625" style="163" customWidth="1"/>
    <col min="64" max="16384" width="2.5" style="163"/>
  </cols>
  <sheetData>
    <row r="1" spans="1:60" ht="30" customHeight="1">
      <c r="A1" s="677" t="s">
        <v>2264</v>
      </c>
      <c r="B1" s="485"/>
      <c r="C1" s="485"/>
      <c r="D1" s="485"/>
      <c r="E1" s="485"/>
      <c r="F1" s="485"/>
      <c r="G1" s="162"/>
      <c r="H1" s="162"/>
      <c r="I1" s="678"/>
      <c r="J1" s="162"/>
      <c r="K1" s="161"/>
      <c r="L1" s="487"/>
      <c r="M1" s="487"/>
      <c r="N1" s="605"/>
      <c r="O1" s="487"/>
      <c r="P1" s="604"/>
      <c r="Q1" s="604"/>
      <c r="R1" s="605"/>
      <c r="S1" s="487"/>
      <c r="T1" s="605"/>
      <c r="U1" s="604"/>
      <c r="V1" s="605"/>
      <c r="W1" s="271"/>
      <c r="X1" s="606"/>
      <c r="Y1" s="606"/>
      <c r="Z1" s="606"/>
      <c r="AA1" s="606"/>
      <c r="AB1" s="606"/>
      <c r="AC1" s="606"/>
      <c r="AD1" s="606"/>
      <c r="AE1" s="606"/>
      <c r="AF1" s="606"/>
      <c r="AG1" s="606"/>
      <c r="AH1" s="606"/>
      <c r="AI1" s="607"/>
      <c r="AJ1" s="605"/>
      <c r="AK1" s="607"/>
      <c r="AL1" s="607"/>
      <c r="AM1" s="607"/>
      <c r="AN1" s="607"/>
      <c r="AO1" s="160"/>
      <c r="AP1" s="160"/>
      <c r="AQ1" s="1519" t="s">
        <v>54</v>
      </c>
      <c r="AR1" s="1520"/>
      <c r="AS1" s="609" t="str">
        <f>IF(基本情報入力シート!C33="","",基本情報入力シート!C33)</f>
        <v/>
      </c>
      <c r="AT1" s="610"/>
      <c r="AU1" s="610"/>
      <c r="AZ1" s="584"/>
      <c r="BD1" s="163"/>
      <c r="BE1" s="163"/>
      <c r="BF1" s="163"/>
      <c r="BG1" s="163"/>
      <c r="BH1" s="163"/>
    </row>
    <row r="2" spans="1:60" ht="21" customHeight="1" thickBot="1">
      <c r="A2" s="162"/>
      <c r="B2" s="486"/>
      <c r="C2" s="486"/>
      <c r="D2" s="486"/>
      <c r="E2" s="486"/>
      <c r="F2" s="486"/>
      <c r="G2" s="487"/>
      <c r="H2" s="487"/>
      <c r="I2" s="679"/>
      <c r="J2" s="487"/>
      <c r="K2" s="161"/>
      <c r="L2" s="487"/>
      <c r="M2" s="487"/>
      <c r="N2" s="487"/>
      <c r="O2" s="487"/>
      <c r="P2" s="604"/>
      <c r="Q2" s="604"/>
      <c r="R2" s="605"/>
      <c r="S2" s="487"/>
      <c r="U2" s="604"/>
      <c r="V2" s="605"/>
      <c r="W2" s="271"/>
      <c r="X2" s="271"/>
      <c r="Y2" s="271"/>
      <c r="Z2" s="271"/>
      <c r="AA2" s="271"/>
      <c r="AB2" s="271"/>
      <c r="AC2" s="271"/>
      <c r="AD2" s="271"/>
      <c r="AE2" s="271"/>
      <c r="AF2" s="271"/>
      <c r="AG2" s="271"/>
      <c r="AH2" s="271"/>
      <c r="AI2" s="607"/>
      <c r="AJ2" s="605"/>
      <c r="AK2" s="605"/>
      <c r="AL2" s="605"/>
      <c r="AM2" s="605"/>
      <c r="AN2" s="605"/>
      <c r="AO2" s="160"/>
      <c r="AP2" s="160"/>
      <c r="AQ2" s="525"/>
      <c r="AR2" s="654"/>
      <c r="AS2" s="525"/>
      <c r="AT2" s="525"/>
      <c r="AU2" s="525"/>
      <c r="AV2" s="613"/>
      <c r="AW2" s="584"/>
      <c r="AX2" s="613"/>
      <c r="AZ2" s="584"/>
      <c r="BD2" s="163"/>
      <c r="BE2" s="163"/>
      <c r="BF2" s="163"/>
      <c r="BG2" s="163"/>
      <c r="BH2" s="163"/>
    </row>
    <row r="3" spans="1:60" ht="27" customHeight="1" thickBot="1">
      <c r="A3" s="1255" t="s">
        <v>5</v>
      </c>
      <c r="B3" s="1255"/>
      <c r="C3" s="1256"/>
      <c r="D3" s="1252" t="str">
        <f>IF(基本情報入力シート!M38="","",基本情報入力シート!M38)</f>
        <v/>
      </c>
      <c r="E3" s="1253"/>
      <c r="F3" s="1253"/>
      <c r="G3" s="1253"/>
      <c r="H3" s="1253"/>
      <c r="I3" s="1253"/>
      <c r="J3" s="1254"/>
      <c r="K3" s="161"/>
      <c r="L3" s="504"/>
      <c r="M3" s="504"/>
      <c r="O3" s="504"/>
      <c r="P3" s="614"/>
      <c r="Q3" s="614"/>
      <c r="R3" s="615"/>
      <c r="S3" s="504"/>
      <c r="T3" s="605"/>
      <c r="U3" s="604"/>
      <c r="V3" s="605"/>
      <c r="W3" s="271"/>
      <c r="X3" s="606"/>
      <c r="Y3" s="606"/>
      <c r="Z3" s="606"/>
      <c r="AA3" s="606"/>
      <c r="AB3" s="606"/>
      <c r="AC3" s="606"/>
      <c r="AD3" s="606"/>
      <c r="AE3" s="606"/>
      <c r="AF3" s="606"/>
      <c r="AG3" s="606"/>
      <c r="AH3" s="606"/>
      <c r="AI3" s="607"/>
      <c r="AJ3" s="605"/>
      <c r="AK3" s="605"/>
      <c r="AL3" s="605"/>
      <c r="AM3" s="605"/>
      <c r="AN3" s="605"/>
      <c r="AO3" s="160"/>
      <c r="AP3" s="160"/>
      <c r="AQ3" s="525"/>
      <c r="AR3" s="654"/>
      <c r="AS3" s="525"/>
      <c r="AT3" s="525"/>
      <c r="AU3" s="525"/>
      <c r="AZ3" s="584"/>
      <c r="BD3" s="163"/>
      <c r="BE3" s="163"/>
      <c r="BF3" s="163"/>
      <c r="BG3" s="163"/>
      <c r="BH3" s="163"/>
    </row>
    <row r="4" spans="1:60" ht="21" customHeight="1" thickBot="1">
      <c r="A4" s="497"/>
      <c r="B4" s="498"/>
      <c r="C4" s="498"/>
      <c r="D4" s="499"/>
      <c r="E4" s="499"/>
      <c r="F4" s="499"/>
      <c r="G4" s="500"/>
      <c r="H4" s="500"/>
      <c r="I4" s="500"/>
      <c r="J4" s="500"/>
      <c r="K4" s="500"/>
      <c r="L4" s="504"/>
      <c r="M4" s="504"/>
      <c r="N4" s="504"/>
      <c r="O4" s="504"/>
      <c r="P4" s="614"/>
      <c r="Q4" s="604"/>
      <c r="R4" s="622"/>
      <c r="S4" s="504"/>
      <c r="T4" s="605"/>
      <c r="U4" s="604"/>
      <c r="V4" s="605"/>
      <c r="W4" s="271"/>
      <c r="X4" s="606"/>
      <c r="Y4" s="606"/>
      <c r="Z4" s="606"/>
      <c r="AA4" s="606"/>
      <c r="AB4" s="606"/>
      <c r="AC4" s="606"/>
      <c r="AD4" s="606"/>
      <c r="AE4" s="606"/>
      <c r="AF4" s="606"/>
      <c r="AG4" s="606"/>
      <c r="AH4" s="606"/>
      <c r="AI4" s="637"/>
      <c r="AJ4" s="605"/>
      <c r="AK4" s="605"/>
      <c r="AL4" s="605"/>
      <c r="AM4" s="605"/>
      <c r="AN4" s="605"/>
      <c r="AO4" s="160"/>
      <c r="AP4" s="160"/>
      <c r="AQ4" s="525"/>
      <c r="AR4" s="654"/>
      <c r="AS4" s="525"/>
      <c r="AT4" s="525"/>
      <c r="AU4" s="525"/>
      <c r="BD4" s="163"/>
      <c r="BE4" s="163"/>
      <c r="BF4" s="163"/>
      <c r="BG4" s="163"/>
      <c r="BH4" s="163"/>
    </row>
    <row r="5" spans="1:60" ht="35.25" customHeight="1" thickBot="1">
      <c r="A5" s="1277" t="s">
        <v>2368</v>
      </c>
      <c r="B5" s="1530"/>
      <c r="C5" s="1530"/>
      <c r="D5" s="1530"/>
      <c r="E5" s="1530"/>
      <c r="F5" s="1530"/>
      <c r="G5" s="1530"/>
      <c r="H5" s="1530"/>
      <c r="I5" s="1530"/>
      <c r="J5" s="1530"/>
      <c r="K5" s="1531"/>
      <c r="L5" s="616">
        <f>IFERROR(SUMIF(T:T, "区分変更後の算定予定", AI:AI),"")</f>
        <v>0</v>
      </c>
      <c r="M5" s="655" t="s">
        <v>1</v>
      </c>
      <c r="N5" s="504"/>
      <c r="O5" s="504"/>
      <c r="P5" s="614"/>
      <c r="Q5" s="604"/>
      <c r="R5" s="622"/>
      <c r="S5" s="504"/>
      <c r="T5" s="605"/>
      <c r="U5" s="604"/>
      <c r="V5" s="605"/>
      <c r="W5" s="271"/>
      <c r="X5" s="606"/>
      <c r="Y5" s="606"/>
      <c r="Z5" s="606"/>
      <c r="AA5" s="606"/>
      <c r="AB5" s="606"/>
      <c r="AC5" s="606"/>
      <c r="AD5" s="606"/>
      <c r="AE5" s="606"/>
      <c r="AF5" s="606"/>
      <c r="AG5" s="606"/>
      <c r="AH5" s="606"/>
      <c r="AI5" s="637"/>
      <c r="AJ5" s="605"/>
      <c r="AK5" s="622" t="s">
        <v>2265</v>
      </c>
      <c r="AL5" s="605"/>
      <c r="AM5" s="605"/>
      <c r="AN5" s="605"/>
      <c r="AO5" s="160"/>
      <c r="AP5" s="512"/>
      <c r="AQ5" s="512"/>
      <c r="AR5" s="625"/>
      <c r="AS5" s="512"/>
      <c r="AT5" s="512"/>
      <c r="AU5" s="512"/>
      <c r="AV5" s="636"/>
      <c r="AY5" s="636"/>
      <c r="AZ5" s="636"/>
      <c r="BA5" s="636"/>
      <c r="BB5" s="636"/>
      <c r="BC5" s="636"/>
      <c r="BD5" s="636"/>
      <c r="BE5" s="636"/>
      <c r="BF5" s="636"/>
      <c r="BG5" s="636"/>
      <c r="BH5" s="636"/>
    </row>
    <row r="6" spans="1:60" ht="35.25" customHeight="1">
      <c r="A6" s="620"/>
      <c r="B6" s="1334" t="s">
        <v>2365</v>
      </c>
      <c r="C6" s="1228"/>
      <c r="D6" s="1228"/>
      <c r="E6" s="1228"/>
      <c r="F6" s="1228"/>
      <c r="G6" s="1228"/>
      <c r="H6" s="1228"/>
      <c r="I6" s="1228"/>
      <c r="J6" s="1228"/>
      <c r="K6" s="1229"/>
      <c r="L6" s="621">
        <f>IFERROR(SUMIF(T:T, "区分変更後の算定予定", AK:AK),"")</f>
        <v>0</v>
      </c>
      <c r="M6" s="655" t="s">
        <v>1</v>
      </c>
      <c r="N6" s="487"/>
      <c r="O6" s="487"/>
      <c r="P6" s="604"/>
      <c r="Q6" s="604"/>
      <c r="R6" s="622"/>
      <c r="S6" s="504"/>
      <c r="T6" s="605"/>
      <c r="U6" s="604"/>
      <c r="V6" s="605"/>
      <c r="W6" s="271"/>
      <c r="X6" s="606"/>
      <c r="Y6" s="606"/>
      <c r="Z6" s="606"/>
      <c r="AA6" s="606"/>
      <c r="AB6" s="606"/>
      <c r="AC6" s="606"/>
      <c r="AD6" s="606"/>
      <c r="AE6" s="606"/>
      <c r="AF6" s="606"/>
      <c r="AG6" s="606"/>
      <c r="AH6" s="606"/>
      <c r="AI6" s="637"/>
      <c r="AJ6" s="605"/>
      <c r="AK6" s="1400" t="s">
        <v>2112</v>
      </c>
      <c r="AL6" s="1401"/>
      <c r="AM6" s="1401"/>
      <c r="AN6" s="1401"/>
      <c r="AO6" s="1401"/>
      <c r="AP6" s="1401"/>
      <c r="AQ6" s="1402"/>
      <c r="AR6" s="656">
        <f>SUMIF(T:T,"区分変更後の算定予定",AR:AR)</f>
        <v>0</v>
      </c>
      <c r="AS6" s="525"/>
      <c r="AT6" s="512"/>
      <c r="AU6" s="512"/>
      <c r="AV6" s="1595" t="s">
        <v>2266</v>
      </c>
      <c r="AW6" s="1596"/>
      <c r="AY6" s="636"/>
      <c r="AZ6" s="636"/>
      <c r="BA6" s="636"/>
      <c r="BB6" s="636"/>
      <c r="BC6" s="636"/>
      <c r="BD6" s="636"/>
      <c r="BE6" s="636"/>
      <c r="BF6" s="636"/>
      <c r="BG6" s="636"/>
      <c r="BH6" s="636"/>
    </row>
    <row r="7" spans="1:60" ht="35.25" customHeight="1" thickBot="1">
      <c r="A7" s="620"/>
      <c r="B7" s="1334" t="s">
        <v>2366</v>
      </c>
      <c r="C7" s="1228"/>
      <c r="D7" s="1228"/>
      <c r="E7" s="1228"/>
      <c r="F7" s="1228"/>
      <c r="G7" s="1228"/>
      <c r="H7" s="1228"/>
      <c r="I7" s="1228"/>
      <c r="J7" s="1228"/>
      <c r="K7" s="1229"/>
      <c r="L7" s="621">
        <f>IFERROR(SUMIF(T:T, "区分変更後の算定予定", AM:AM),"")</f>
        <v>0</v>
      </c>
      <c r="M7" s="655" t="s">
        <v>1</v>
      </c>
      <c r="N7" s="605"/>
      <c r="O7" s="605"/>
      <c r="P7" s="604"/>
      <c r="Q7" s="604"/>
      <c r="R7" s="622"/>
      <c r="S7" s="504"/>
      <c r="T7" s="605"/>
      <c r="U7" s="604"/>
      <c r="V7" s="605"/>
      <c r="W7" s="271"/>
      <c r="X7" s="606"/>
      <c r="Y7" s="606"/>
      <c r="Z7" s="606"/>
      <c r="AA7" s="606"/>
      <c r="AB7" s="606"/>
      <c r="AC7" s="606"/>
      <c r="AD7" s="606"/>
      <c r="AE7" s="606"/>
      <c r="AF7" s="606"/>
      <c r="AG7" s="606"/>
      <c r="AH7" s="271"/>
      <c r="AI7" s="632"/>
      <c r="AJ7" s="605"/>
      <c r="AK7" s="1400" t="s">
        <v>2355</v>
      </c>
      <c r="AL7" s="1401"/>
      <c r="AM7" s="1401"/>
      <c r="AN7" s="1401"/>
      <c r="AO7" s="1401"/>
      <c r="AP7" s="1401"/>
      <c r="AQ7" s="1402"/>
      <c r="AR7" s="657">
        <f>SUM(BD:BD)</f>
        <v>0</v>
      </c>
      <c r="AS7" s="525"/>
      <c r="AT7" s="512"/>
      <c r="AU7" s="525"/>
      <c r="AV7" s="1597"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598"/>
      <c r="AX7" s="1592"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旧処遇加算Ⅰ・Ⅱ相当なし</v>
      </c>
      <c r="AY7" s="1594"/>
      <c r="AZ7" s="1591" t="str">
        <f>IF((COUNTIFS(T:T,"区分変更後の算定予定",U:U,"新加算Ⅰ")+COUNTIFS(T:T,"区分変更後の算定予定",U:U,"新加算Ⅱ"))&gt;=1,"旧特定加算相当あり","旧特定加算相当なし")</f>
        <v>旧特定加算相当なし</v>
      </c>
      <c r="BA7" s="1591"/>
      <c r="BB7" s="1591"/>
      <c r="BC7" s="1592" t="str">
        <f>IF((COUNTIFS(T:T,"区分変更後の算定予定",U:U,"新加算Ⅰ"))&gt;=1,"旧特定加算Ⅰ相当あり","旧特定加算Ⅰ相当なし")</f>
        <v>旧特定加算Ⅰ相当なし</v>
      </c>
      <c r="BD7" s="1593"/>
      <c r="BE7" s="1594"/>
      <c r="BH7" s="163"/>
    </row>
    <row r="8" spans="1:60" ht="35.25" customHeight="1" thickBot="1">
      <c r="A8" s="628"/>
      <c r="B8" s="1334" t="s">
        <v>2367</v>
      </c>
      <c r="C8" s="1228"/>
      <c r="D8" s="1228"/>
      <c r="E8" s="1228"/>
      <c r="F8" s="1228"/>
      <c r="G8" s="1228"/>
      <c r="H8" s="1228"/>
      <c r="I8" s="1228"/>
      <c r="J8" s="1228"/>
      <c r="K8" s="1229"/>
      <c r="L8" s="658">
        <f>IFERROR(SUMIF(T:T, "区分変更後の算定予定", AJ:AJ),"")</f>
        <v>0</v>
      </c>
      <c r="M8" s="655" t="s">
        <v>1</v>
      </c>
      <c r="N8" s="605"/>
      <c r="O8" s="605"/>
      <c r="P8" s="604"/>
      <c r="Q8" s="522"/>
      <c r="R8" s="523"/>
      <c r="S8" s="523"/>
      <c r="T8" s="630"/>
      <c r="U8" s="631"/>
      <c r="V8" s="605"/>
      <c r="W8" s="271"/>
      <c r="X8" s="271"/>
      <c r="Y8" s="271"/>
      <c r="Z8" s="606"/>
      <c r="AA8" s="271"/>
      <c r="AB8" s="271"/>
      <c r="AC8" s="271"/>
      <c r="AD8" s="271"/>
      <c r="AE8" s="271"/>
      <c r="AF8" s="271"/>
      <c r="AG8" s="271"/>
      <c r="AH8" s="271"/>
      <c r="AI8" s="632"/>
      <c r="AJ8" s="605"/>
      <c r="AK8" s="605"/>
      <c r="AL8" s="605"/>
      <c r="AM8" s="605"/>
      <c r="AN8" s="605"/>
      <c r="AO8" s="160"/>
      <c r="AP8" s="160"/>
      <c r="AQ8" s="525"/>
      <c r="AR8" s="654"/>
      <c r="AS8" s="525"/>
      <c r="AT8" s="525"/>
      <c r="AU8" s="525"/>
    </row>
    <row r="9" spans="1:60" ht="35.25" customHeight="1">
      <c r="A9" s="1290" t="s">
        <v>2371</v>
      </c>
      <c r="B9" s="1290"/>
      <c r="C9" s="1290"/>
      <c r="D9" s="1290"/>
      <c r="E9" s="1290"/>
      <c r="F9" s="1290"/>
      <c r="G9" s="1290"/>
      <c r="H9" s="1290"/>
      <c r="I9" s="1290"/>
      <c r="J9" s="1290"/>
      <c r="K9" s="1290"/>
      <c r="L9" s="1290"/>
      <c r="M9" s="487"/>
      <c r="N9" s="605"/>
      <c r="O9" s="605"/>
      <c r="P9" s="604"/>
      <c r="Q9" s="522"/>
      <c r="R9" s="523"/>
      <c r="S9" s="523"/>
      <c r="T9" s="630"/>
      <c r="U9" s="631"/>
      <c r="V9" s="605"/>
      <c r="W9" s="271"/>
      <c r="X9" s="271"/>
      <c r="Y9" s="271"/>
      <c r="Z9" s="606"/>
      <c r="AA9" s="271"/>
      <c r="AB9" s="271"/>
      <c r="AC9" s="271"/>
      <c r="AD9" s="271"/>
      <c r="AE9" s="271"/>
      <c r="AF9" s="271"/>
      <c r="AG9" s="271"/>
      <c r="AH9" s="271"/>
      <c r="AI9" s="632"/>
      <c r="AJ9" s="605"/>
      <c r="AK9" s="605"/>
      <c r="AL9" s="605"/>
      <c r="AM9" s="659"/>
      <c r="AN9" s="605"/>
      <c r="AO9" s="160"/>
      <c r="AP9" s="160"/>
      <c r="AQ9" s="525"/>
      <c r="AR9" s="618"/>
      <c r="AS9" s="525"/>
      <c r="AT9" s="525"/>
      <c r="AU9" s="525"/>
      <c r="BE9" s="428"/>
    </row>
    <row r="10" spans="1:60" ht="15.75" customHeight="1" thickBot="1">
      <c r="A10" s="1290"/>
      <c r="B10" s="1290"/>
      <c r="C10" s="1290"/>
      <c r="D10" s="1290"/>
      <c r="E10" s="1290"/>
      <c r="F10" s="1290"/>
      <c r="G10" s="1290"/>
      <c r="H10" s="1290"/>
      <c r="I10" s="1290"/>
      <c r="J10" s="1290"/>
      <c r="K10" s="1290"/>
      <c r="L10" s="1290"/>
      <c r="M10" s="487"/>
      <c r="N10" s="605"/>
      <c r="O10" s="605"/>
      <c r="P10" s="604"/>
      <c r="Q10" s="522"/>
      <c r="R10" s="523"/>
      <c r="S10" s="523"/>
      <c r="T10" s="630"/>
      <c r="U10" s="631"/>
      <c r="V10" s="605"/>
      <c r="W10" s="271"/>
      <c r="X10" s="271"/>
      <c r="Y10" s="271"/>
      <c r="Z10" s="606"/>
      <c r="AA10" s="271"/>
      <c r="AB10" s="271"/>
      <c r="AC10" s="271"/>
      <c r="AD10" s="271"/>
      <c r="AE10" s="271"/>
      <c r="AF10" s="271"/>
      <c r="AG10" s="271"/>
      <c r="AH10" s="271"/>
      <c r="AI10" s="632"/>
      <c r="AJ10" s="605"/>
      <c r="AK10" s="605"/>
      <c r="AL10" s="605"/>
      <c r="AM10" s="659"/>
      <c r="AN10" s="605"/>
      <c r="AO10" s="160"/>
      <c r="AP10" s="160"/>
      <c r="AQ10" s="525"/>
      <c r="AR10" s="618"/>
      <c r="AS10" s="525"/>
      <c r="AT10" s="525"/>
      <c r="AU10" s="525"/>
      <c r="BE10" s="428"/>
    </row>
    <row r="11" spans="1:60" ht="32.25" customHeight="1" thickBot="1">
      <c r="A11" s="1291"/>
      <c r="B11" s="1291"/>
      <c r="C11" s="1291"/>
      <c r="D11" s="1291"/>
      <c r="E11" s="1291"/>
      <c r="F11" s="1291"/>
      <c r="G11" s="1291"/>
      <c r="H11" s="1291"/>
      <c r="I11" s="1291"/>
      <c r="J11" s="1291"/>
      <c r="K11" s="1291"/>
      <c r="L11" s="1291"/>
      <c r="M11" s="487"/>
      <c r="N11" s="487"/>
      <c r="O11" s="487"/>
      <c r="P11" s="604"/>
      <c r="Q11" s="604"/>
      <c r="R11" s="605"/>
      <c r="S11" s="487"/>
      <c r="T11" s="605"/>
      <c r="U11" s="604"/>
      <c r="V11" s="605"/>
      <c r="W11" s="271"/>
      <c r="X11" s="606"/>
      <c r="Y11" s="606"/>
      <c r="Z11" s="606"/>
      <c r="AA11" s="606"/>
      <c r="AB11" s="606"/>
      <c r="AC11" s="606"/>
      <c r="AD11" s="606"/>
      <c r="AE11" s="606"/>
      <c r="AF11" s="606"/>
      <c r="AG11" s="606"/>
      <c r="AH11" s="606"/>
      <c r="AI11" s="637"/>
      <c r="AJ11" s="605"/>
      <c r="AK11" s="605"/>
      <c r="AL11" s="605"/>
      <c r="AM11" s="1513" t="str">
        <f>IFERROR(IF(COUNTIF(AZ:AZ,"未入力")=0,"○","未入力あり"),"")</f>
        <v>○</v>
      </c>
      <c r="AN11" s="1514"/>
      <c r="AO11" s="638" t="str">
        <f>IFERROR(IF(COUNTIF(BA:BA,"未入力")=0,"○","未入力あり"),"")</f>
        <v>○</v>
      </c>
      <c r="AP11" s="638" t="str">
        <f>IFERROR(IF(COUNTIF(BB:BB,"未入力")=0,"○","未入力あり"),"")</f>
        <v>○</v>
      </c>
      <c r="AQ11" s="638" t="str">
        <f>IFERROR(IF(COUNTIF(BC:BC,"未入力")=0,"○","未入力あり"),"")</f>
        <v>○</v>
      </c>
      <c r="AR11" s="660" t="str">
        <f>IF(AZ7="旧特定加算相当なし","",IF(AR6&gt;=AR7,"○","×"))</f>
        <v/>
      </c>
      <c r="AS11" s="638" t="str">
        <f>IF(BC7="旧特定加算Ⅰ相当なし","",IF(COUNTIF(BE:BE,"未入力")=0,"○","未入力あり"))</f>
        <v/>
      </c>
      <c r="AT11" s="641" t="s">
        <v>2205</v>
      </c>
      <c r="AU11" s="525"/>
      <c r="AY11" s="163"/>
      <c r="AZ11" s="163"/>
      <c r="BA11" s="163"/>
      <c r="BB11" s="163"/>
      <c r="BC11" s="163"/>
      <c r="BD11" s="163"/>
      <c r="BE11" s="163"/>
      <c r="BF11" s="163"/>
      <c r="BG11" s="163"/>
      <c r="BH11" s="163"/>
    </row>
    <row r="12" spans="1:60" ht="59.25" customHeight="1">
      <c r="A12" s="1257"/>
      <c r="B12" s="1282" t="s">
        <v>2326</v>
      </c>
      <c r="C12" s="1283"/>
      <c r="D12" s="1283"/>
      <c r="E12" s="1283"/>
      <c r="F12" s="1284"/>
      <c r="G12" s="1288" t="s">
        <v>63</v>
      </c>
      <c r="H12" s="1308" t="s">
        <v>88</v>
      </c>
      <c r="I12" s="1308"/>
      <c r="J12" s="1309" t="s">
        <v>69</v>
      </c>
      <c r="K12" s="1302" t="s">
        <v>40</v>
      </c>
      <c r="L12" s="1304" t="s">
        <v>2176</v>
      </c>
      <c r="M12" s="1306" t="s">
        <v>67</v>
      </c>
      <c r="N12" s="1322" t="s">
        <v>2268</v>
      </c>
      <c r="O12" s="1323" t="s">
        <v>2167</v>
      </c>
      <c r="P12" s="1417" t="s">
        <v>2332</v>
      </c>
      <c r="Q12" s="1418"/>
      <c r="R12" s="1419"/>
      <c r="S12" s="1431" t="s">
        <v>2113</v>
      </c>
      <c r="T12" s="1339" t="s">
        <v>2168</v>
      </c>
      <c r="U12" s="1340"/>
      <c r="V12" s="1323" t="s">
        <v>177</v>
      </c>
      <c r="W12" s="1441" t="s">
        <v>142</v>
      </c>
      <c r="X12" s="1442"/>
      <c r="Y12" s="1442"/>
      <c r="Z12" s="1442"/>
      <c r="AA12" s="1442"/>
      <c r="AB12" s="1442"/>
      <c r="AC12" s="1442"/>
      <c r="AD12" s="1442"/>
      <c r="AE12" s="1442"/>
      <c r="AF12" s="1442"/>
      <c r="AG12" s="1442"/>
      <c r="AH12" s="1443"/>
      <c r="AI12" s="1441" t="s">
        <v>2169</v>
      </c>
      <c r="AJ12" s="1566" t="s">
        <v>2329</v>
      </c>
      <c r="AK12" s="1568" t="s">
        <v>2194</v>
      </c>
      <c r="AL12" s="1328"/>
      <c r="AM12" s="1515" t="s">
        <v>2177</v>
      </c>
      <c r="AN12" s="1328"/>
      <c r="AO12" s="1327" t="s">
        <v>241</v>
      </c>
      <c r="AP12" s="1328"/>
      <c r="AQ12" s="531" t="s">
        <v>235</v>
      </c>
      <c r="AR12" s="531" t="s">
        <v>239</v>
      </c>
      <c r="AS12" s="532" t="s">
        <v>240</v>
      </c>
      <c r="AT12" s="1343" t="s">
        <v>2325</v>
      </c>
      <c r="AU12" s="661"/>
      <c r="AV12" s="507"/>
      <c r="BF12" s="1524" t="s">
        <v>2358</v>
      </c>
      <c r="BG12" s="1525"/>
      <c r="BH12" s="1526"/>
    </row>
    <row r="13" spans="1:60" ht="132.75" customHeight="1" thickBot="1">
      <c r="A13" s="1258"/>
      <c r="B13" s="1285"/>
      <c r="C13" s="1286"/>
      <c r="D13" s="1286"/>
      <c r="E13" s="1286"/>
      <c r="F13" s="1287"/>
      <c r="G13" s="1289"/>
      <c r="H13" s="533" t="s">
        <v>2327</v>
      </c>
      <c r="I13" s="533" t="s">
        <v>2328</v>
      </c>
      <c r="J13" s="1310"/>
      <c r="K13" s="1303"/>
      <c r="L13" s="1305"/>
      <c r="M13" s="1473"/>
      <c r="N13" s="1425"/>
      <c r="O13" s="1426"/>
      <c r="P13" s="1420"/>
      <c r="Q13" s="1421"/>
      <c r="R13" s="1422"/>
      <c r="S13" s="1432"/>
      <c r="T13" s="1341"/>
      <c r="U13" s="1342"/>
      <c r="V13" s="1544"/>
      <c r="W13" s="1545"/>
      <c r="X13" s="1121"/>
      <c r="Y13" s="1121"/>
      <c r="Z13" s="1121"/>
      <c r="AA13" s="1121"/>
      <c r="AB13" s="1121"/>
      <c r="AC13" s="1121"/>
      <c r="AD13" s="1121"/>
      <c r="AE13" s="1121"/>
      <c r="AF13" s="1121"/>
      <c r="AG13" s="1121"/>
      <c r="AH13" s="1546"/>
      <c r="AI13" s="1547"/>
      <c r="AJ13" s="1567"/>
      <c r="AK13" s="662" t="s">
        <v>2354</v>
      </c>
      <c r="AL13" s="663" t="s">
        <v>2191</v>
      </c>
      <c r="AM13" s="663" t="s">
        <v>2174</v>
      </c>
      <c r="AN13" s="664" t="s">
        <v>2192</v>
      </c>
      <c r="AO13" s="664" t="s">
        <v>2330</v>
      </c>
      <c r="AP13" s="663" t="s">
        <v>2331</v>
      </c>
      <c r="AQ13" s="665" t="s">
        <v>234</v>
      </c>
      <c r="AR13" s="540" t="s">
        <v>2342</v>
      </c>
      <c r="AS13" s="666" t="s">
        <v>2335</v>
      </c>
      <c r="AT13" s="1231"/>
      <c r="AU13" s="661"/>
      <c r="AV13" s="543" t="s">
        <v>2187</v>
      </c>
      <c r="AW13" s="645" t="s">
        <v>2214</v>
      </c>
      <c r="AX13" s="645" t="s">
        <v>2215</v>
      </c>
      <c r="AY13" s="543" t="s">
        <v>2181</v>
      </c>
      <c r="AZ13" s="543" t="s">
        <v>2195</v>
      </c>
      <c r="BA13" s="543" t="s">
        <v>2182</v>
      </c>
      <c r="BB13" s="543" t="s">
        <v>2183</v>
      </c>
      <c r="BC13" s="543" t="s">
        <v>2184</v>
      </c>
      <c r="BD13" s="546" t="s">
        <v>2185</v>
      </c>
      <c r="BE13" s="546" t="s">
        <v>2186</v>
      </c>
      <c r="BF13" s="1527"/>
      <c r="BG13" s="1528"/>
      <c r="BH13" s="1529"/>
    </row>
    <row r="14" spans="1:60" ht="30" customHeight="1">
      <c r="A14" s="1225">
        <v>1</v>
      </c>
      <c r="B14" s="1271" t="str">
        <f>IF(基本情報入力シート!C54="","",基本情報入力シート!C54)</f>
        <v/>
      </c>
      <c r="C14" s="1259"/>
      <c r="D14" s="1259"/>
      <c r="E14" s="1259"/>
      <c r="F14" s="1260"/>
      <c r="G14" s="1265" t="str">
        <f>IF(基本情報入力シート!M54="","",基本情報入力シート!M54)</f>
        <v/>
      </c>
      <c r="H14" s="1265" t="str">
        <f>IF(基本情報入力シート!R54="","",基本情報入力シート!R54)</f>
        <v/>
      </c>
      <c r="I14" s="1265" t="str">
        <f>IF(基本情報入力シート!W54="","",基本情報入力シート!W54)</f>
        <v/>
      </c>
      <c r="J14" s="1379" t="str">
        <f>IF(基本情報入力シート!X54="","",基本情報入力シート!X54)</f>
        <v/>
      </c>
      <c r="K14" s="1265" t="str">
        <f>IF(基本情報入力シート!Y54="","",基本情報入力シート!Y54)</f>
        <v/>
      </c>
      <c r="L14" s="1450" t="str">
        <f>IF(基本情報入力シート!AB54="","",基本情報入力シート!AB54)</f>
        <v/>
      </c>
      <c r="M14" s="1447" t="str">
        <f>IF(基本情報入力シート!AC54="","",基本情報入力シート!AC54)</f>
        <v/>
      </c>
      <c r="N14" s="647" t="str">
        <f>IF('別紙様式2-2（４・５月分）'!Q14="","",'別紙様式2-2（４・５月分）'!Q14)</f>
        <v/>
      </c>
      <c r="O14" s="1366" t="str">
        <f>IF(SUM('別紙様式2-2（４・５月分）'!R14:R16)=0,"",SUM('別紙様式2-2（４・５月分）'!R14:R16))</f>
        <v/>
      </c>
      <c r="P14" s="1380" t="str">
        <f>IFERROR(VLOOKUP('別紙様式2-2（４・５月分）'!AR14,【参考】数式用!$AT$5:$AU$22,2,FALSE),"")</f>
        <v/>
      </c>
      <c r="Q14" s="1381"/>
      <c r="R14" s="1382"/>
      <c r="S14" s="1392" t="str">
        <f>IFERROR(VLOOKUP(K14,【参考】数式用!$A$5:$AB$27,MATCH(P14,【参考】数式用!$B$4:$AB$4,0)+1,0),"")</f>
        <v/>
      </c>
      <c r="T14" s="1413" t="s">
        <v>2193</v>
      </c>
      <c r="U14" s="1562" t="str">
        <f>IF('別紙様式2-3（６月以降分）'!U14="","",'別紙様式2-3（６月以降分）'!U14)</f>
        <v/>
      </c>
      <c r="V14" s="1457" t="str">
        <f>IFERROR(VLOOKUP(K14,【参考】数式用!$A$5:$AB$27,MATCH(U14,【参考】数式用!$B$4:$AB$4,0)+1,0),"")</f>
        <v/>
      </c>
      <c r="W14" s="1350" t="s">
        <v>19</v>
      </c>
      <c r="X14" s="1534">
        <f>'別紙様式2-3（６月以降分）'!X14</f>
        <v>6</v>
      </c>
      <c r="Y14" s="1354" t="s">
        <v>10</v>
      </c>
      <c r="Z14" s="1534">
        <f>'別紙様式2-3（６月以降分）'!Z14</f>
        <v>6</v>
      </c>
      <c r="AA14" s="1354" t="s">
        <v>45</v>
      </c>
      <c r="AB14" s="1534">
        <f>'別紙様式2-3（６月以降分）'!AB14</f>
        <v>7</v>
      </c>
      <c r="AC14" s="1354" t="s">
        <v>10</v>
      </c>
      <c r="AD14" s="1534">
        <f>'別紙様式2-3（６月以降分）'!AD14</f>
        <v>3</v>
      </c>
      <c r="AE14" s="1354" t="s">
        <v>13</v>
      </c>
      <c r="AF14" s="1354" t="s">
        <v>24</v>
      </c>
      <c r="AG14" s="1354">
        <f>IF(X14&gt;=1,(AB14*12+AD14)-(X14*12+Z14)+1,"")</f>
        <v>10</v>
      </c>
      <c r="AH14" s="1360" t="s">
        <v>38</v>
      </c>
      <c r="AI14" s="1481" t="str">
        <f>'別紙様式2-3（６月以降分）'!AI14</f>
        <v/>
      </c>
      <c r="AJ14" s="1542" t="str">
        <f>'別紙様式2-3（６月以降分）'!AJ14</f>
        <v/>
      </c>
      <c r="AK14" s="1560">
        <f>'別紙様式2-3（６月以降分）'!AK14</f>
        <v>0</v>
      </c>
      <c r="AL14" s="1540" t="str">
        <f>IF('別紙様式2-3（６月以降分）'!AL14="","",'別紙様式2-3（６月以降分）'!AL14)</f>
        <v/>
      </c>
      <c r="AM14" s="1571">
        <f>'別紙様式2-3（６月以降分）'!AM14</f>
        <v>0</v>
      </c>
      <c r="AN14" s="1573" t="str">
        <f>IF('別紙様式2-3（６月以降分）'!AN14="","",'別紙様式2-3（６月以降分）'!AN14)</f>
        <v/>
      </c>
      <c r="AO14" s="1364" t="str">
        <f>IF('別紙様式2-3（６月以降分）'!AO14="","",'別紙様式2-3（６月以降分）'!AO14)</f>
        <v/>
      </c>
      <c r="AP14" s="1502" t="str">
        <f>IF('別紙様式2-3（６月以降分）'!AP14="","",'別紙様式2-3（６月以降分）'!AP14)</f>
        <v/>
      </c>
      <c r="AQ14" s="1403" t="str">
        <f>IF('別紙様式2-3（６月以降分）'!AQ14="","",'別紙様式2-3（６月以降分）'!AQ14)</f>
        <v/>
      </c>
      <c r="AR14" s="1583" t="str">
        <f>IF('別紙様式2-3（６月以降分）'!AR14="","",'別紙様式2-3（６月以降分）'!AR14)</f>
        <v/>
      </c>
      <c r="AS14" s="1536" t="str">
        <f>IF('別紙様式2-3（６月以降分）'!AS14="","",'別紙様式2-3（６月以降分）'!AS14)</f>
        <v/>
      </c>
      <c r="AT14" s="667" t="str">
        <f>IF(AV16="","",IF(V16&lt;V14,"！加算の要件上は問題ありませんが、令和６年度当初の新加算の加算率と比較して、移行後の加算率が下がる計画になっています。",""))</f>
        <v/>
      </c>
      <c r="AU14" s="668"/>
      <c r="AV14" s="1233"/>
      <c r="AW14" s="669" t="str">
        <f>IF('別紙様式2-2（４・５月分）'!O14="","",'別紙様式2-2（４・５月分）'!O14)</f>
        <v/>
      </c>
      <c r="AX14" s="1522" t="str">
        <f>IF(SUM('別紙様式2-2（４・５月分）'!P14:P16)=0,"",SUM('別紙様式2-2（４・５月分）'!P14:P16))</f>
        <v/>
      </c>
      <c r="AY14" s="1590" t="str">
        <f>IFERROR(VLOOKUP(K14,【参考】数式用!$AJ$2:$AK$24,2,FALSE),"")</f>
        <v/>
      </c>
      <c r="AZ14" s="584"/>
      <c r="BE14" s="428"/>
      <c r="BF14" s="1493" t="str">
        <f>G14</f>
        <v/>
      </c>
      <c r="BG14" s="1493"/>
      <c r="BH14" s="1493"/>
    </row>
    <row r="15" spans="1:60" ht="15" customHeight="1">
      <c r="A15" s="1226"/>
      <c r="B15" s="1272"/>
      <c r="C15" s="1261"/>
      <c r="D15" s="1261"/>
      <c r="E15" s="1261"/>
      <c r="F15" s="1262"/>
      <c r="G15" s="1266"/>
      <c r="H15" s="1266"/>
      <c r="I15" s="1266"/>
      <c r="J15" s="1372"/>
      <c r="K15" s="1266"/>
      <c r="L15" s="1451"/>
      <c r="M15" s="1448"/>
      <c r="N15" s="1370" t="str">
        <f>IF('別紙様式2-2（４・５月分）'!Q15="","",'別紙様式2-2（４・５月分）'!Q15)</f>
        <v/>
      </c>
      <c r="O15" s="1367"/>
      <c r="P15" s="1383"/>
      <c r="Q15" s="1384"/>
      <c r="R15" s="1385"/>
      <c r="S15" s="1393"/>
      <c r="T15" s="1414"/>
      <c r="U15" s="1563"/>
      <c r="V15" s="1458"/>
      <c r="W15" s="1351"/>
      <c r="X15" s="1535"/>
      <c r="Y15" s="1355"/>
      <c r="Z15" s="1535"/>
      <c r="AA15" s="1355"/>
      <c r="AB15" s="1535"/>
      <c r="AC15" s="1355"/>
      <c r="AD15" s="1535"/>
      <c r="AE15" s="1355"/>
      <c r="AF15" s="1355"/>
      <c r="AG15" s="1355"/>
      <c r="AH15" s="1361"/>
      <c r="AI15" s="1482"/>
      <c r="AJ15" s="1543"/>
      <c r="AK15" s="1561"/>
      <c r="AL15" s="1541"/>
      <c r="AM15" s="1572"/>
      <c r="AN15" s="1574"/>
      <c r="AO15" s="1575"/>
      <c r="AP15" s="1533"/>
      <c r="AQ15" s="1576"/>
      <c r="AR15" s="1584"/>
      <c r="AS15" s="1537"/>
      <c r="AT15" s="1532" t="str">
        <f>IF(AV16="","",IF(OR(AB16="",AB16&lt;&gt;7,AD16="",AD16&lt;&gt;3),"！算定期間の終わりが令和７年３月になっていません。年度内の廃止予定等がなければ、算定対象月を令和７年３月にしてください。",""))</f>
        <v/>
      </c>
      <c r="AU15" s="670"/>
      <c r="AV15" s="1493"/>
      <c r="AW15" s="1518" t="str">
        <f>IF('別紙様式2-2（４・５月分）'!O15="","",'別紙様式2-2（４・５月分）'!O15)</f>
        <v/>
      </c>
      <c r="AX15" s="1507"/>
      <c r="AY15" s="1589"/>
      <c r="AZ15" s="521"/>
      <c r="BE15" s="428"/>
      <c r="BF15" s="1493" t="str">
        <f>G14</f>
        <v/>
      </c>
      <c r="BG15" s="1493"/>
      <c r="BH15" s="1493"/>
    </row>
    <row r="16" spans="1:60" ht="15" customHeight="1">
      <c r="A16" s="1240"/>
      <c r="B16" s="1272"/>
      <c r="C16" s="1261"/>
      <c r="D16" s="1261"/>
      <c r="E16" s="1261"/>
      <c r="F16" s="1262"/>
      <c r="G16" s="1266"/>
      <c r="H16" s="1266"/>
      <c r="I16" s="1266"/>
      <c r="J16" s="1372"/>
      <c r="K16" s="1266"/>
      <c r="L16" s="1451"/>
      <c r="M16" s="1448"/>
      <c r="N16" s="1371"/>
      <c r="O16" s="1368"/>
      <c r="P16" s="1471" t="s">
        <v>2179</v>
      </c>
      <c r="Q16" s="1504" t="str">
        <f>IFERROR(VLOOKUP('別紙様式2-2（４・５月分）'!AR14,【参考】数式用!$AT$5:$AV$22,3,FALSE),"")</f>
        <v/>
      </c>
      <c r="R16" s="1423" t="s">
        <v>2190</v>
      </c>
      <c r="S16" s="1396" t="str">
        <f>IFERROR(VLOOKUP(K14,【参考】数式用!$A$5:$AB$27,MATCH(Q16,【参考】数式用!$B$4:$AB$4,0)+1,0),"")</f>
        <v/>
      </c>
      <c r="T16" s="1459" t="s">
        <v>2267</v>
      </c>
      <c r="U16" s="1569"/>
      <c r="V16" s="1463" t="str">
        <f>IFERROR(VLOOKUP(K14,【参考】数式用!$A$5:$AB$27,MATCH(U16,【参考】数式用!$B$4:$AB$4,0)+1,0),"")</f>
        <v/>
      </c>
      <c r="W16" s="1465" t="s">
        <v>19</v>
      </c>
      <c r="X16" s="1564"/>
      <c r="Y16" s="1407" t="s">
        <v>10</v>
      </c>
      <c r="Z16" s="1564"/>
      <c r="AA16" s="1407" t="s">
        <v>45</v>
      </c>
      <c r="AB16" s="1564"/>
      <c r="AC16" s="1407" t="s">
        <v>10</v>
      </c>
      <c r="AD16" s="1564"/>
      <c r="AE16" s="1407" t="s">
        <v>13</v>
      </c>
      <c r="AF16" s="1407" t="s">
        <v>24</v>
      </c>
      <c r="AG16" s="1407" t="str">
        <f>IF(X16&gt;=1,(AB16*12+AD16)-(X16*12+Z16)+1,"")</f>
        <v/>
      </c>
      <c r="AH16" s="1409" t="s">
        <v>38</v>
      </c>
      <c r="AI16" s="1411" t="str">
        <f>IFERROR(ROUNDDOWN(ROUND(L14*V16,0)*M14,0)*AG16,"")</f>
        <v/>
      </c>
      <c r="AJ16" s="1577" t="str">
        <f>IFERROR(ROUNDDOWN(ROUND((L14*(V16-AX14)),0)*M14,0)*AG16,"")</f>
        <v/>
      </c>
      <c r="AK16" s="1494" t="str">
        <f>IFERROR(ROUNDDOWN(ROUNDDOWN(ROUND(L14*VLOOKUP(K14,【参考】数式用!$A$5:$AB$27,MATCH("新加算Ⅳ",【参考】数式用!$B$4:$AB$4,0)+1,0),0)*M14,0)*AG16*0.5,0),"")</f>
        <v/>
      </c>
      <c r="AL16" s="1579"/>
      <c r="AM16" s="1581" t="str">
        <f>IFERROR(IF('別紙様式2-2（４・５月分）'!Q16="ベア加算","", IF(OR(U16="新加算Ⅰ",U16="新加算Ⅱ",U16="新加算Ⅲ",U16="新加算Ⅳ"),ROUNDDOWN(ROUND(L14*VLOOKUP(K14,【参考】数式用!$A$5:$I$27,MATCH("ベア加算",【参考】数式用!$B$4:$I$4,0)+1,0),0)*M14,0)*AG16,"")),"")</f>
        <v/>
      </c>
      <c r="AN16" s="1548"/>
      <c r="AO16" s="1550"/>
      <c r="AP16" s="1552"/>
      <c r="AQ16" s="1554"/>
      <c r="AR16" s="1556"/>
      <c r="AS16" s="1558"/>
      <c r="AT16" s="1532"/>
      <c r="AU16" s="670"/>
      <c r="AV16" s="1493" t="str">
        <f>IF(OR(AB14&lt;&gt;7,AD14&lt;&gt;3),"V列に色付け","")</f>
        <v/>
      </c>
      <c r="AW16" s="1518"/>
      <c r="AX16" s="1507"/>
      <c r="AY16" s="671"/>
      <c r="AZ16" s="1321" t="str">
        <f>IF(AM16&lt;&gt;"",IF(AN16="○","入力済","未入力"),"")</f>
        <v/>
      </c>
      <c r="BA16" s="1321"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321" t="str">
        <f>IF(OR(U16="新加算Ⅴ（７）",U16="新加算Ⅴ（９）",U16="新加算Ⅴ（10）",U16="新加算Ⅴ（12）",U16="新加算Ⅴ（13）",U16="新加算Ⅴ（14）"),IF(OR(AP16="○",AP16="令和６年度中に満たす"),"入力済","未入力"),"")</f>
        <v/>
      </c>
      <c r="BC16" s="1321" t="str">
        <f>IF(OR(U16="新加算Ⅰ",U16="新加算Ⅱ",U16="新加算Ⅲ",U16="新加算Ⅴ（１）",U16="新加算Ⅴ（３）",U16="新加算Ⅴ（８）"),IF(OR(AQ16="○",AQ16="令和６年度中に満たす"),"入力済","未入力"),"")</f>
        <v/>
      </c>
      <c r="BD16" s="1588"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493" t="str">
        <f>IF(OR(U16="新加算Ⅰ",U16="新加算Ⅴ（１）",U16="新加算Ⅴ（２）",U16="新加算Ⅴ（５）",U16="新加算Ⅴ（７）",U16="新加算Ⅴ（10）"),IF(AS16="","未入力","入力済"),"")</f>
        <v/>
      </c>
      <c r="BF16" s="1493" t="str">
        <f>G14</f>
        <v/>
      </c>
      <c r="BG16" s="1493"/>
      <c r="BH16" s="1493"/>
    </row>
    <row r="17" spans="1:60" ht="30" customHeight="1" thickBot="1">
      <c r="A17" s="1227"/>
      <c r="B17" s="1376"/>
      <c r="C17" s="1377"/>
      <c r="D17" s="1377"/>
      <c r="E17" s="1377"/>
      <c r="F17" s="1378"/>
      <c r="G17" s="1267"/>
      <c r="H17" s="1267"/>
      <c r="I17" s="1267"/>
      <c r="J17" s="1373"/>
      <c r="K17" s="1267"/>
      <c r="L17" s="1452"/>
      <c r="M17" s="1449"/>
      <c r="N17" s="650" t="str">
        <f>IF('別紙様式2-2（４・５月分）'!Q16="","",'別紙様式2-2（４・５月分）'!Q16)</f>
        <v/>
      </c>
      <c r="O17" s="1369"/>
      <c r="P17" s="1472"/>
      <c r="Q17" s="1505"/>
      <c r="R17" s="1424"/>
      <c r="S17" s="1395"/>
      <c r="T17" s="1460"/>
      <c r="U17" s="1570"/>
      <c r="V17" s="1464"/>
      <c r="W17" s="1466"/>
      <c r="X17" s="1565"/>
      <c r="Y17" s="1408"/>
      <c r="Z17" s="1565"/>
      <c r="AA17" s="1408"/>
      <c r="AB17" s="1565"/>
      <c r="AC17" s="1408"/>
      <c r="AD17" s="1565"/>
      <c r="AE17" s="1408"/>
      <c r="AF17" s="1408"/>
      <c r="AG17" s="1408"/>
      <c r="AH17" s="1410"/>
      <c r="AI17" s="1412"/>
      <c r="AJ17" s="1578"/>
      <c r="AK17" s="1495"/>
      <c r="AL17" s="1580"/>
      <c r="AM17" s="1582"/>
      <c r="AN17" s="1549"/>
      <c r="AO17" s="1551"/>
      <c r="AP17" s="1553"/>
      <c r="AQ17" s="1555"/>
      <c r="AR17" s="1557"/>
      <c r="AS17" s="1559"/>
      <c r="AT17" s="672"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68"/>
      <c r="AV17" s="1493"/>
      <c r="AW17" s="652" t="str">
        <f>IF('別紙様式2-2（４・５月分）'!O16="","",'別紙様式2-2（４・５月分）'!O16)</f>
        <v/>
      </c>
      <c r="AX17" s="1507"/>
      <c r="AY17" s="673"/>
      <c r="AZ17" s="1321" t="str">
        <f>IF(OR(U17="新加算Ⅰ",U17="新加算Ⅱ",U17="新加算Ⅲ",U17="新加算Ⅳ",U17="新加算Ⅴ（１）",U17="新加算Ⅴ（２）",U17="新加算Ⅴ（３）",U17="新加算ⅠⅤ（４）",U17="新加算Ⅴ（５）",U17="新加算Ⅴ（６）",U17="新加算Ⅴ（８）",U17="新加算Ⅴ（11）"),IF(AJ17="○","","未入力"),"")</f>
        <v/>
      </c>
      <c r="BA17" s="1321" t="str">
        <f>IF(OR(V17="新加算Ⅰ",V17="新加算Ⅱ",V17="新加算Ⅲ",V17="新加算Ⅳ",V17="新加算Ⅴ（１）",V17="新加算Ⅴ（２）",V17="新加算Ⅴ（３）",V17="新加算ⅠⅤ（４）",V17="新加算Ⅴ（５）",V17="新加算Ⅴ（６）",V17="新加算Ⅴ（８）",V17="新加算Ⅴ（11）"),IF(AK17="○","","未入力"),"")</f>
        <v/>
      </c>
      <c r="BB17" s="1321" t="str">
        <f>IF(OR(V17="新加算Ⅴ（７）",V17="新加算Ⅴ（９）",V17="新加算Ⅴ（10）",V17="新加算Ⅴ（12）",V17="新加算Ⅴ（13）",V17="新加算Ⅴ（14）"),IF(AL17="○","","未入力"),"")</f>
        <v/>
      </c>
      <c r="BC17" s="1321" t="str">
        <f>IF(OR(V17="新加算Ⅰ",V17="新加算Ⅱ",V17="新加算Ⅲ",V17="新加算Ⅴ（１）",V17="新加算Ⅴ（３）",V17="新加算Ⅴ（８）"),IF(AM17="○","","未入力"),"")</f>
        <v/>
      </c>
      <c r="BD17" s="1588"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493" t="str">
        <f>IF(AND(U17&lt;&gt;"（参考）令和７年度の移行予定",OR(V17="新加算Ⅰ",V17="新加算Ⅴ（１）",V17="新加算Ⅴ（２）",V17="新加算Ⅴ（５）",V17="新加算Ⅴ（７）",V17="新加算Ⅴ（10）")),IF(AO17="","未入力",IF(AO17="いずれも取得していない","要件を満たさない","")),"")</f>
        <v/>
      </c>
      <c r="BF17" s="1493" t="str">
        <f>G14</f>
        <v/>
      </c>
      <c r="BG17" s="1493"/>
      <c r="BH17" s="1493"/>
    </row>
    <row r="18" spans="1:60" ht="30" customHeight="1">
      <c r="A18" s="1241">
        <v>2</v>
      </c>
      <c r="B18" s="1272" t="str">
        <f>IF(基本情報入力シート!C55="","",基本情報入力シート!C55)</f>
        <v/>
      </c>
      <c r="C18" s="1261"/>
      <c r="D18" s="1261"/>
      <c r="E18" s="1261"/>
      <c r="F18" s="1262"/>
      <c r="G18" s="1266" t="str">
        <f>IF(基本情報入力シート!M55="","",基本情報入力シート!M55)</f>
        <v/>
      </c>
      <c r="H18" s="1266" t="str">
        <f>IF(基本情報入力シート!R55="","",基本情報入力シート!R55)</f>
        <v/>
      </c>
      <c r="I18" s="1266" t="str">
        <f>IF(基本情報入力シート!W55="","",基本情報入力シート!W55)</f>
        <v/>
      </c>
      <c r="J18" s="1372" t="str">
        <f>IF(基本情報入力シート!X55="","",基本情報入力シート!X55)</f>
        <v/>
      </c>
      <c r="K18" s="1266" t="str">
        <f>IF(基本情報入力シート!Y55="","",基本情報入力シート!Y55)</f>
        <v/>
      </c>
      <c r="L18" s="1451" t="str">
        <f>IF(基本情報入力シート!AB55="","",基本情報入力シート!AB55)</f>
        <v/>
      </c>
      <c r="M18" s="1453" t="str">
        <f>IF(基本情報入力シート!AC55="","",基本情報入力シート!AC55)</f>
        <v/>
      </c>
      <c r="N18" s="647" t="str">
        <f>IF('別紙様式2-2（４・５月分）'!Q17="","",'別紙様式2-2（４・５月分）'!Q17)</f>
        <v/>
      </c>
      <c r="O18" s="1366" t="str">
        <f>IF(SUM('別紙様式2-2（４・５月分）'!R17:R19)=0,"",SUM('別紙様式2-2（４・５月分）'!R17:R19))</f>
        <v/>
      </c>
      <c r="P18" s="1380" t="str">
        <f>IFERROR(VLOOKUP('別紙様式2-2（４・５月分）'!AR17,【参考】数式用!$AT$5:$AU$22,2,FALSE),"")</f>
        <v/>
      </c>
      <c r="Q18" s="1381"/>
      <c r="R18" s="1382"/>
      <c r="S18" s="1392" t="str">
        <f>IFERROR(VLOOKUP(K18,【参考】数式用!$A$5:$AB$27,MATCH(P18,【参考】数式用!$B$4:$AB$4,0)+1,0),"")</f>
        <v/>
      </c>
      <c r="T18" s="1413" t="s">
        <v>2193</v>
      </c>
      <c r="U18" s="1562" t="str">
        <f>IF('別紙様式2-3（６月以降分）'!U18="","",'別紙様式2-3（６月以降分）'!U18)</f>
        <v/>
      </c>
      <c r="V18" s="1457" t="str">
        <f>IFERROR(VLOOKUP(K18,【参考】数式用!$A$5:$AB$27,MATCH(U18,【参考】数式用!$B$4:$AB$4,0)+1,0),"")</f>
        <v/>
      </c>
      <c r="W18" s="1350" t="s">
        <v>19</v>
      </c>
      <c r="X18" s="1534">
        <f>'別紙様式2-3（６月以降分）'!X18</f>
        <v>6</v>
      </c>
      <c r="Y18" s="1354" t="s">
        <v>10</v>
      </c>
      <c r="Z18" s="1534">
        <f>'別紙様式2-3（６月以降分）'!Z18</f>
        <v>6</v>
      </c>
      <c r="AA18" s="1354" t="s">
        <v>45</v>
      </c>
      <c r="AB18" s="1534">
        <f>'別紙様式2-3（６月以降分）'!AB18</f>
        <v>7</v>
      </c>
      <c r="AC18" s="1354" t="s">
        <v>10</v>
      </c>
      <c r="AD18" s="1534">
        <f>'別紙様式2-3（６月以降分）'!AD18</f>
        <v>3</v>
      </c>
      <c r="AE18" s="1354" t="s">
        <v>13</v>
      </c>
      <c r="AF18" s="1354" t="s">
        <v>24</v>
      </c>
      <c r="AG18" s="1354">
        <f>IF(X18&gt;=1,(AB18*12+AD18)-(X18*12+Z18)+1,"")</f>
        <v>10</v>
      </c>
      <c r="AH18" s="1360" t="s">
        <v>38</v>
      </c>
      <c r="AI18" s="1481" t="str">
        <f>'別紙様式2-3（６月以降分）'!AI18</f>
        <v/>
      </c>
      <c r="AJ18" s="1542" t="str">
        <f>'別紙様式2-3（６月以降分）'!AJ18</f>
        <v/>
      </c>
      <c r="AK18" s="1538">
        <f>'別紙様式2-3（６月以降分）'!AK18</f>
        <v>0</v>
      </c>
      <c r="AL18" s="1540" t="str">
        <f>IF('別紙様式2-3（６月以降分）'!AL18="","",'別紙様式2-3（６月以降分）'!AL18)</f>
        <v/>
      </c>
      <c r="AM18" s="1571">
        <f>'別紙様式2-3（６月以降分）'!AM18</f>
        <v>0</v>
      </c>
      <c r="AN18" s="1573" t="str">
        <f>IF('別紙様式2-3（６月以降分）'!AN18="","",'別紙様式2-3（６月以降分）'!AN18)</f>
        <v/>
      </c>
      <c r="AO18" s="1403" t="str">
        <f>IF('別紙様式2-3（６月以降分）'!AO18="","",'別紙様式2-3（６月以降分）'!AO18)</f>
        <v/>
      </c>
      <c r="AP18" s="1502" t="str">
        <f>IF('別紙様式2-3（６月以降分）'!AP18="","",'別紙様式2-3（６月以降分）'!AP18)</f>
        <v/>
      </c>
      <c r="AQ18" s="1403" t="str">
        <f>IF('別紙様式2-3（６月以降分）'!AQ18="","",'別紙様式2-3（６月以降分）'!AQ18)</f>
        <v/>
      </c>
      <c r="AR18" s="1583" t="str">
        <f>IF('別紙様式2-3（６月以降分）'!AR18="","",'別紙様式2-3（６月以降分）'!AR18)</f>
        <v/>
      </c>
      <c r="AS18" s="1536" t="str">
        <f>IF('別紙様式2-3（６月以降分）'!AS18="","",'別紙様式2-3（６月以降分）'!AS18)</f>
        <v/>
      </c>
      <c r="AT18" s="667" t="str">
        <f t="shared" ref="AT18" si="0">IF(AV20="","",IF(V20&lt;V18,"！加算の要件上は問題ありませんが、令和６年度当初の新加算の加算率と比較して、移行後の加算率が下がる計画になっています。",""))</f>
        <v/>
      </c>
      <c r="AU18" s="674"/>
      <c r="AV18" s="1233"/>
      <c r="AW18" s="652" t="str">
        <f>IF('別紙様式2-2（４・５月分）'!O17="","",'別紙様式2-2（４・５月分）'!O17)</f>
        <v/>
      </c>
      <c r="AX18" s="1507" t="str">
        <f>IF(SUM('別紙様式2-2（４・５月分）'!P17:P19)=0,"",SUM('別紙様式2-2（４・５月分）'!P17:P19))</f>
        <v/>
      </c>
      <c r="AY18" s="1589" t="str">
        <f>IFERROR(VLOOKUP(K18,【参考】数式用!$AJ$2:$AK$24,2,FALSE),"")</f>
        <v/>
      </c>
      <c r="AZ18" s="584"/>
      <c r="BE18" s="428"/>
      <c r="BF18" s="1493" t="str">
        <f>G18</f>
        <v/>
      </c>
      <c r="BG18" s="1493"/>
      <c r="BH18" s="1493"/>
    </row>
    <row r="19" spans="1:60" ht="15" customHeight="1">
      <c r="A19" s="1226"/>
      <c r="B19" s="1272"/>
      <c r="C19" s="1261"/>
      <c r="D19" s="1261"/>
      <c r="E19" s="1261"/>
      <c r="F19" s="1262"/>
      <c r="G19" s="1266"/>
      <c r="H19" s="1266"/>
      <c r="I19" s="1266"/>
      <c r="J19" s="1372"/>
      <c r="K19" s="1266"/>
      <c r="L19" s="1451"/>
      <c r="M19" s="1453"/>
      <c r="N19" s="1370" t="str">
        <f>IF('別紙様式2-2（４・５月分）'!Q18="","",'別紙様式2-2（４・５月分）'!Q18)</f>
        <v/>
      </c>
      <c r="O19" s="1367"/>
      <c r="P19" s="1383"/>
      <c r="Q19" s="1384"/>
      <c r="R19" s="1385"/>
      <c r="S19" s="1393"/>
      <c r="T19" s="1414"/>
      <c r="U19" s="1563"/>
      <c r="V19" s="1458"/>
      <c r="W19" s="1351"/>
      <c r="X19" s="1535"/>
      <c r="Y19" s="1355"/>
      <c r="Z19" s="1535"/>
      <c r="AA19" s="1355"/>
      <c r="AB19" s="1535"/>
      <c r="AC19" s="1355"/>
      <c r="AD19" s="1535"/>
      <c r="AE19" s="1355"/>
      <c r="AF19" s="1355"/>
      <c r="AG19" s="1355"/>
      <c r="AH19" s="1361"/>
      <c r="AI19" s="1482"/>
      <c r="AJ19" s="1543"/>
      <c r="AK19" s="1539"/>
      <c r="AL19" s="1541"/>
      <c r="AM19" s="1572"/>
      <c r="AN19" s="1574"/>
      <c r="AO19" s="1404"/>
      <c r="AP19" s="1533"/>
      <c r="AQ19" s="1404"/>
      <c r="AR19" s="1584"/>
      <c r="AS19" s="1537"/>
      <c r="AT19" s="1532" t="str">
        <f t="shared" ref="AT19" si="1">IF(AV20="","",IF(OR(AB20="",AB20&lt;&gt;7,AD20="",AD20&lt;&gt;3),"！算定期間の終わりが令和７年３月になっていません。年度内の廃止予定等がなければ、算定対象月を令和７年３月にしてください。",""))</f>
        <v/>
      </c>
      <c r="AU19" s="674"/>
      <c r="AV19" s="1493"/>
      <c r="AW19" s="1518" t="str">
        <f>IF('別紙様式2-2（４・５月分）'!O18="","",'別紙様式2-2（４・５月分）'!O18)</f>
        <v/>
      </c>
      <c r="AX19" s="1507"/>
      <c r="AY19" s="1589"/>
      <c r="AZ19" s="521"/>
      <c r="BE19" s="428"/>
      <c r="BF19" s="1493" t="str">
        <f>G18</f>
        <v/>
      </c>
      <c r="BG19" s="1493"/>
      <c r="BH19" s="1493"/>
    </row>
    <row r="20" spans="1:60" ht="15" customHeight="1">
      <c r="A20" s="1240"/>
      <c r="B20" s="1272"/>
      <c r="C20" s="1261"/>
      <c r="D20" s="1261"/>
      <c r="E20" s="1261"/>
      <c r="F20" s="1262"/>
      <c r="G20" s="1266"/>
      <c r="H20" s="1266"/>
      <c r="I20" s="1266"/>
      <c r="J20" s="1372"/>
      <c r="K20" s="1266"/>
      <c r="L20" s="1451"/>
      <c r="M20" s="1453"/>
      <c r="N20" s="1371"/>
      <c r="O20" s="1368"/>
      <c r="P20" s="1471" t="s">
        <v>2179</v>
      </c>
      <c r="Q20" s="1504" t="str">
        <f>IFERROR(VLOOKUP('別紙様式2-2（４・５月分）'!AR17,【参考】数式用!$AT$5:$AV$22,3,FALSE),"")</f>
        <v/>
      </c>
      <c r="R20" s="1423" t="s">
        <v>2190</v>
      </c>
      <c r="S20" s="1394" t="str">
        <f>IFERROR(VLOOKUP(K18,【参考】数式用!$A$5:$AB$27,MATCH(Q20,【参考】数式用!$B$4:$AB$4,0)+1,0),"")</f>
        <v/>
      </c>
      <c r="T20" s="1459" t="s">
        <v>2267</v>
      </c>
      <c r="U20" s="1569"/>
      <c r="V20" s="1463" t="str">
        <f>IFERROR(VLOOKUP(K18,【参考】数式用!$A$5:$AB$27,MATCH(U20,【参考】数式用!$B$4:$AB$4,0)+1,0),"")</f>
        <v/>
      </c>
      <c r="W20" s="1465" t="s">
        <v>19</v>
      </c>
      <c r="X20" s="1564"/>
      <c r="Y20" s="1407" t="s">
        <v>10</v>
      </c>
      <c r="Z20" s="1564"/>
      <c r="AA20" s="1407" t="s">
        <v>45</v>
      </c>
      <c r="AB20" s="1564"/>
      <c r="AC20" s="1407" t="s">
        <v>10</v>
      </c>
      <c r="AD20" s="1564"/>
      <c r="AE20" s="1407" t="s">
        <v>13</v>
      </c>
      <c r="AF20" s="1407" t="s">
        <v>24</v>
      </c>
      <c r="AG20" s="1407" t="str">
        <f>IF(X20&gt;=1,(AB20*12+AD20)-(X20*12+Z20)+1,"")</f>
        <v/>
      </c>
      <c r="AH20" s="1409" t="s">
        <v>38</v>
      </c>
      <c r="AI20" s="1411" t="str">
        <f>IFERROR(ROUNDDOWN(ROUND(L18*V20,0)*M18,0)*AG20,"")</f>
        <v/>
      </c>
      <c r="AJ20" s="1577" t="str">
        <f>IFERROR(ROUNDDOWN(ROUND((L18*(V20-AX18)),0)*M18,0)*AG20,"")</f>
        <v/>
      </c>
      <c r="AK20" s="1494" t="str">
        <f>IFERROR(ROUNDDOWN(ROUNDDOWN(ROUND(L18*VLOOKUP(K18,【参考】数式用!$A$5:$AB$27,MATCH("新加算Ⅳ",【参考】数式用!$B$4:$AB$4,0)+1,0),0)*M18,0)*AG20*0.5,0),"")</f>
        <v/>
      </c>
      <c r="AL20" s="1579"/>
      <c r="AM20" s="1581" t="str">
        <f>IFERROR(IF('別紙様式2-2（４・５月分）'!Q19="ベア加算","", IF(OR(U20="新加算Ⅰ",U20="新加算Ⅱ",U20="新加算Ⅲ",U20="新加算Ⅳ"),ROUNDDOWN(ROUND(L18*VLOOKUP(K18,【参考】数式用!$A$5:$I$27,MATCH("ベア加算",【参考】数式用!$B$4:$I$4,0)+1,0),0)*M18,0)*AG20,"")),"")</f>
        <v/>
      </c>
      <c r="AN20" s="1548"/>
      <c r="AO20" s="1554"/>
      <c r="AP20" s="1552"/>
      <c r="AQ20" s="1554"/>
      <c r="AR20" s="1556"/>
      <c r="AS20" s="1558"/>
      <c r="AT20" s="1532"/>
      <c r="AU20" s="542"/>
      <c r="AV20" s="1493" t="str">
        <f t="shared" ref="AV20" si="2">IF(OR(AB18&lt;&gt;7,AD18&lt;&gt;3),"V列に色付け","")</f>
        <v/>
      </c>
      <c r="AW20" s="1518"/>
      <c r="AX20" s="1507"/>
      <c r="AY20" s="671"/>
      <c r="AZ20" s="1321" t="str">
        <f>IF(AM20&lt;&gt;"",IF(AN20="○","入力済","未入力"),"")</f>
        <v/>
      </c>
      <c r="BA20" s="1321"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321" t="str">
        <f>IF(OR(U20="新加算Ⅴ（７）",U20="新加算Ⅴ（９）",U20="新加算Ⅴ（10）",U20="新加算Ⅴ（12）",U20="新加算Ⅴ（13）",U20="新加算Ⅴ（14）"),IF(OR(AP20="○",AP20="令和６年度中に満たす"),"入力済","未入力"),"")</f>
        <v/>
      </c>
      <c r="BC20" s="1321" t="str">
        <f>IF(OR(U20="新加算Ⅰ",U20="新加算Ⅱ",U20="新加算Ⅲ",U20="新加算Ⅴ（１）",U20="新加算Ⅴ（３）",U20="新加算Ⅴ（８）"),IF(OR(AQ20="○",AQ20="令和６年度中に満たす"),"入力済","未入力"),"")</f>
        <v/>
      </c>
      <c r="BD20" s="1588"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493" t="str">
        <f>IF(OR(U20="新加算Ⅰ",U20="新加算Ⅴ（１）",U20="新加算Ⅴ（２）",U20="新加算Ⅴ（５）",U20="新加算Ⅴ（７）",U20="新加算Ⅴ（10）"),IF(AS20="","未入力","入力済"),"")</f>
        <v/>
      </c>
      <c r="BF20" s="1493" t="str">
        <f>G18</f>
        <v/>
      </c>
      <c r="BG20" s="1493"/>
      <c r="BH20" s="1493"/>
    </row>
    <row r="21" spans="1:60" ht="30" customHeight="1" thickBot="1">
      <c r="A21" s="1227"/>
      <c r="B21" s="1376"/>
      <c r="C21" s="1377"/>
      <c r="D21" s="1377"/>
      <c r="E21" s="1377"/>
      <c r="F21" s="1378"/>
      <c r="G21" s="1267"/>
      <c r="H21" s="1267"/>
      <c r="I21" s="1267"/>
      <c r="J21" s="1373"/>
      <c r="K21" s="1267"/>
      <c r="L21" s="1452"/>
      <c r="M21" s="1454"/>
      <c r="N21" s="650" t="str">
        <f>IF('別紙様式2-2（４・５月分）'!Q19="","",'別紙様式2-2（４・５月分）'!Q19)</f>
        <v/>
      </c>
      <c r="O21" s="1369"/>
      <c r="P21" s="1472"/>
      <c r="Q21" s="1505"/>
      <c r="R21" s="1424"/>
      <c r="S21" s="1395"/>
      <c r="T21" s="1460"/>
      <c r="U21" s="1570"/>
      <c r="V21" s="1464"/>
      <c r="W21" s="1466"/>
      <c r="X21" s="1565"/>
      <c r="Y21" s="1408"/>
      <c r="Z21" s="1565"/>
      <c r="AA21" s="1408"/>
      <c r="AB21" s="1565"/>
      <c r="AC21" s="1408"/>
      <c r="AD21" s="1565"/>
      <c r="AE21" s="1408"/>
      <c r="AF21" s="1408"/>
      <c r="AG21" s="1408"/>
      <c r="AH21" s="1410"/>
      <c r="AI21" s="1412"/>
      <c r="AJ21" s="1578"/>
      <c r="AK21" s="1495"/>
      <c r="AL21" s="1580"/>
      <c r="AM21" s="1582"/>
      <c r="AN21" s="1549"/>
      <c r="AO21" s="1555"/>
      <c r="AP21" s="1553"/>
      <c r="AQ21" s="1555"/>
      <c r="AR21" s="1557"/>
      <c r="AS21" s="1559"/>
      <c r="AT21" s="672" t="str">
        <f t="shared" ref="AT21" si="3">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42"/>
      <c r="AV21" s="1493"/>
      <c r="AW21" s="652" t="str">
        <f>IF('別紙様式2-2（４・５月分）'!O19="","",'別紙様式2-2（４・５月分）'!O19)</f>
        <v/>
      </c>
      <c r="AX21" s="1507"/>
      <c r="AY21" s="673"/>
      <c r="AZ21" s="1321" t="str">
        <f>IF(OR(U21="新加算Ⅰ",U21="新加算Ⅱ",U21="新加算Ⅲ",U21="新加算Ⅳ",U21="新加算Ⅴ（１）",U21="新加算Ⅴ（２）",U21="新加算Ⅴ（３）",U21="新加算ⅠⅤ（４）",U21="新加算Ⅴ（５）",U21="新加算Ⅴ（６）",U21="新加算Ⅴ（８）",U21="新加算Ⅴ（11）"),IF(AJ21="○","","未入力"),"")</f>
        <v/>
      </c>
      <c r="BA21" s="1321" t="str">
        <f>IF(OR(V21="新加算Ⅰ",V21="新加算Ⅱ",V21="新加算Ⅲ",V21="新加算Ⅳ",V21="新加算Ⅴ（１）",V21="新加算Ⅴ（２）",V21="新加算Ⅴ（３）",V21="新加算ⅠⅤ（４）",V21="新加算Ⅴ（５）",V21="新加算Ⅴ（６）",V21="新加算Ⅴ（８）",V21="新加算Ⅴ（11）"),IF(AK21="○","","未入力"),"")</f>
        <v/>
      </c>
      <c r="BB21" s="1321" t="str">
        <f>IF(OR(V21="新加算Ⅴ（７）",V21="新加算Ⅴ（９）",V21="新加算Ⅴ（10）",V21="新加算Ⅴ（12）",V21="新加算Ⅴ（13）",V21="新加算Ⅴ（14）"),IF(AL21="○","","未入力"),"")</f>
        <v/>
      </c>
      <c r="BC21" s="1321" t="str">
        <f>IF(OR(V21="新加算Ⅰ",V21="新加算Ⅱ",V21="新加算Ⅲ",V21="新加算Ⅴ（１）",V21="新加算Ⅴ（３）",V21="新加算Ⅴ（８）"),IF(AM21="○","","未入力"),"")</f>
        <v/>
      </c>
      <c r="BD21" s="1588"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493" t="str">
        <f>IF(AND(U21&lt;&gt;"（参考）令和７年度の移行予定",OR(V21="新加算Ⅰ",V21="新加算Ⅴ（１）",V21="新加算Ⅴ（２）",V21="新加算Ⅴ（５）",V21="新加算Ⅴ（７）",V21="新加算Ⅴ（10）")),IF(AO21="","未入力",IF(AO21="いずれも取得していない","要件を満たさない","")),"")</f>
        <v/>
      </c>
      <c r="BF21" s="1493" t="str">
        <f>G18</f>
        <v/>
      </c>
      <c r="BG21" s="1493"/>
      <c r="BH21" s="1493"/>
    </row>
    <row r="22" spans="1:60" ht="30" customHeight="1">
      <c r="A22" s="1225">
        <v>3</v>
      </c>
      <c r="B22" s="1271" t="str">
        <f>IF(基本情報入力シート!C56="","",基本情報入力シート!C56)</f>
        <v/>
      </c>
      <c r="C22" s="1259"/>
      <c r="D22" s="1259"/>
      <c r="E22" s="1259"/>
      <c r="F22" s="1260"/>
      <c r="G22" s="1265" t="str">
        <f>IF(基本情報入力シート!M56="","",基本情報入力シート!M56)</f>
        <v/>
      </c>
      <c r="H22" s="1265" t="str">
        <f>IF(基本情報入力シート!R56="","",基本情報入力シート!R56)</f>
        <v/>
      </c>
      <c r="I22" s="1265" t="str">
        <f>IF(基本情報入力シート!W56="","",基本情報入力シート!W56)</f>
        <v/>
      </c>
      <c r="J22" s="1379" t="str">
        <f>IF(基本情報入力シート!X56="","",基本情報入力シート!X56)</f>
        <v/>
      </c>
      <c r="K22" s="1265" t="str">
        <f>IF(基本情報入力シート!Y56="","",基本情報入力シート!Y56)</f>
        <v/>
      </c>
      <c r="L22" s="1450" t="str">
        <f>IF(基本情報入力シート!AB56="","",基本情報入力シート!AB56)</f>
        <v/>
      </c>
      <c r="M22" s="1447" t="str">
        <f>IF(基本情報入力シート!AC56="","",基本情報入力シート!AC56)</f>
        <v/>
      </c>
      <c r="N22" s="647" t="str">
        <f>IF('別紙様式2-2（４・５月分）'!Q20="","",'別紙様式2-2（４・５月分）'!Q20)</f>
        <v/>
      </c>
      <c r="O22" s="1366" t="str">
        <f>IF(SUM('別紙様式2-2（４・５月分）'!R20:R22)=0,"",SUM('別紙様式2-2（４・５月分）'!R20:R22))</f>
        <v/>
      </c>
      <c r="P22" s="1380" t="str">
        <f>IFERROR(VLOOKUP('別紙様式2-2（４・５月分）'!AR20,【参考】数式用!$AT$5:$AU$22,2,FALSE),"")</f>
        <v/>
      </c>
      <c r="Q22" s="1381"/>
      <c r="R22" s="1382"/>
      <c r="S22" s="1392" t="str">
        <f>IFERROR(VLOOKUP(K22,【参考】数式用!$A$5:$AB$27,MATCH(P22,【参考】数式用!$B$4:$AB$4,0)+1,0),"")</f>
        <v/>
      </c>
      <c r="T22" s="1413" t="s">
        <v>2193</v>
      </c>
      <c r="U22" s="1562" t="str">
        <f>IF('別紙様式2-3（６月以降分）'!U22="","",'別紙様式2-3（６月以降分）'!U22)</f>
        <v/>
      </c>
      <c r="V22" s="1457" t="str">
        <f>IFERROR(VLOOKUP(K22,【参考】数式用!$A$5:$AB$27,MATCH(U22,【参考】数式用!$B$4:$AB$4,0)+1,0),"")</f>
        <v/>
      </c>
      <c r="W22" s="1350" t="s">
        <v>19</v>
      </c>
      <c r="X22" s="1534">
        <f>'別紙様式2-3（６月以降分）'!X22</f>
        <v>6</v>
      </c>
      <c r="Y22" s="1354" t="s">
        <v>10</v>
      </c>
      <c r="Z22" s="1534">
        <f>'別紙様式2-3（６月以降分）'!Z22</f>
        <v>6</v>
      </c>
      <c r="AA22" s="1354" t="s">
        <v>45</v>
      </c>
      <c r="AB22" s="1534">
        <f>'別紙様式2-3（６月以降分）'!AB22</f>
        <v>7</v>
      </c>
      <c r="AC22" s="1354" t="s">
        <v>10</v>
      </c>
      <c r="AD22" s="1534">
        <f>'別紙様式2-3（６月以降分）'!AD22</f>
        <v>3</v>
      </c>
      <c r="AE22" s="1354" t="s">
        <v>2172</v>
      </c>
      <c r="AF22" s="1354" t="s">
        <v>24</v>
      </c>
      <c r="AG22" s="1354">
        <f>IF(X22&gt;=1,(AB22*12+AD22)-(X22*12+Z22)+1,"")</f>
        <v>10</v>
      </c>
      <c r="AH22" s="1360" t="s">
        <v>38</v>
      </c>
      <c r="AI22" s="1481" t="str">
        <f>'別紙様式2-3（６月以降分）'!AI22</f>
        <v/>
      </c>
      <c r="AJ22" s="1542" t="str">
        <f>'別紙様式2-3（６月以降分）'!AJ22</f>
        <v/>
      </c>
      <c r="AK22" s="1538">
        <f>'別紙様式2-3（６月以降分）'!AK22</f>
        <v>0</v>
      </c>
      <c r="AL22" s="1540" t="str">
        <f>IF('別紙様式2-3（６月以降分）'!AL22="","",'別紙様式2-3（６月以降分）'!AL22)</f>
        <v/>
      </c>
      <c r="AM22" s="1571">
        <f>'別紙様式2-3（６月以降分）'!AM22</f>
        <v>0</v>
      </c>
      <c r="AN22" s="1573" t="str">
        <f>IF('別紙様式2-3（６月以降分）'!AN22="","",'別紙様式2-3（６月以降分）'!AN22)</f>
        <v/>
      </c>
      <c r="AO22" s="1403" t="str">
        <f>IF('別紙様式2-3（６月以降分）'!AO22="","",'別紙様式2-3（６月以降分）'!AO22)</f>
        <v/>
      </c>
      <c r="AP22" s="1502" t="str">
        <f>IF('別紙様式2-3（６月以降分）'!AP22="","",'別紙様式2-3（６月以降分）'!AP22)</f>
        <v/>
      </c>
      <c r="AQ22" s="1403" t="str">
        <f>IF('別紙様式2-3（６月以降分）'!AQ22="","",'別紙様式2-3（６月以降分）'!AQ22)</f>
        <v/>
      </c>
      <c r="AR22" s="1583" t="str">
        <f>IF('別紙様式2-3（６月以降分）'!AR22="","",'別紙様式2-3（６月以降分）'!AR22)</f>
        <v/>
      </c>
      <c r="AS22" s="1536" t="str">
        <f>IF('別紙様式2-3（６月以降分）'!AS22="","",'別紙様式2-3（６月以降分）'!AS22)</f>
        <v/>
      </c>
      <c r="AT22" s="667" t="str">
        <f t="shared" ref="AT22" si="4">IF(AV24="","",IF(V24&lt;V22,"！加算の要件上は問題ありませんが、令和６年度当初の新加算の加算率と比較して、移行後の加算率が下がる計画になっています。",""))</f>
        <v/>
      </c>
      <c r="AU22" s="674"/>
      <c r="AV22" s="1233"/>
      <c r="AW22" s="652" t="str">
        <f>IF('別紙様式2-2（４・５月分）'!O20="","",'別紙様式2-2（４・５月分）'!O20)</f>
        <v/>
      </c>
      <c r="AX22" s="1507" t="str">
        <f>IF(SUM('別紙様式2-2（４・５月分）'!P20:P22)=0,"",SUM('別紙様式2-2（４・５月分）'!P20:P22))</f>
        <v/>
      </c>
      <c r="AY22" s="1590" t="str">
        <f>IFERROR(VLOOKUP(K22,【参考】数式用!$AJ$2:$AK$24,2,FALSE),"")</f>
        <v/>
      </c>
      <c r="AZ22" s="584"/>
      <c r="BE22" s="428"/>
      <c r="BF22" s="1493" t="str">
        <f>G22</f>
        <v/>
      </c>
      <c r="BG22" s="1493"/>
      <c r="BH22" s="1493"/>
    </row>
    <row r="23" spans="1:60" ht="15" customHeight="1">
      <c r="A23" s="1226"/>
      <c r="B23" s="1272"/>
      <c r="C23" s="1261"/>
      <c r="D23" s="1261"/>
      <c r="E23" s="1261"/>
      <c r="F23" s="1262"/>
      <c r="G23" s="1266"/>
      <c r="H23" s="1266"/>
      <c r="I23" s="1266"/>
      <c r="J23" s="1372"/>
      <c r="K23" s="1266"/>
      <c r="L23" s="1451"/>
      <c r="M23" s="1448"/>
      <c r="N23" s="1370" t="str">
        <f>IF('別紙様式2-2（４・５月分）'!Q21="","",'別紙様式2-2（４・５月分）'!Q21)</f>
        <v/>
      </c>
      <c r="O23" s="1367"/>
      <c r="P23" s="1383"/>
      <c r="Q23" s="1384"/>
      <c r="R23" s="1385"/>
      <c r="S23" s="1393"/>
      <c r="T23" s="1414"/>
      <c r="U23" s="1563"/>
      <c r="V23" s="1458"/>
      <c r="W23" s="1351"/>
      <c r="X23" s="1535"/>
      <c r="Y23" s="1355"/>
      <c r="Z23" s="1535"/>
      <c r="AA23" s="1355"/>
      <c r="AB23" s="1535"/>
      <c r="AC23" s="1355"/>
      <c r="AD23" s="1535"/>
      <c r="AE23" s="1355"/>
      <c r="AF23" s="1355"/>
      <c r="AG23" s="1355"/>
      <c r="AH23" s="1361"/>
      <c r="AI23" s="1482"/>
      <c r="AJ23" s="1543"/>
      <c r="AK23" s="1539"/>
      <c r="AL23" s="1541"/>
      <c r="AM23" s="1572"/>
      <c r="AN23" s="1574"/>
      <c r="AO23" s="1404"/>
      <c r="AP23" s="1533"/>
      <c r="AQ23" s="1404"/>
      <c r="AR23" s="1584"/>
      <c r="AS23" s="1537"/>
      <c r="AT23" s="1532" t="str">
        <f t="shared" ref="AT23" si="5">IF(AV24="","",IF(OR(AB24="",AB24&lt;&gt;7,AD24="",AD24&lt;&gt;3),"！算定期間の終わりが令和７年３月になっていません。年度内の廃止予定等がなければ、算定対象月を令和７年３月にしてください。",""))</f>
        <v/>
      </c>
      <c r="AU23" s="674"/>
      <c r="AV23" s="1493"/>
      <c r="AW23" s="1518" t="str">
        <f>IF('別紙様式2-2（４・５月分）'!O21="","",'別紙様式2-2（４・５月分）'!O21)</f>
        <v/>
      </c>
      <c r="AX23" s="1507"/>
      <c r="AY23" s="1589"/>
      <c r="AZ23" s="521"/>
      <c r="BE23" s="428"/>
      <c r="BF23" s="1493" t="str">
        <f>G22</f>
        <v/>
      </c>
      <c r="BG23" s="1493"/>
      <c r="BH23" s="1493"/>
    </row>
    <row r="24" spans="1:60" ht="15" customHeight="1">
      <c r="A24" s="1240"/>
      <c r="B24" s="1272"/>
      <c r="C24" s="1261"/>
      <c r="D24" s="1261"/>
      <c r="E24" s="1261"/>
      <c r="F24" s="1262"/>
      <c r="G24" s="1266"/>
      <c r="H24" s="1266"/>
      <c r="I24" s="1266"/>
      <c r="J24" s="1372"/>
      <c r="K24" s="1266"/>
      <c r="L24" s="1451"/>
      <c r="M24" s="1448"/>
      <c r="N24" s="1371"/>
      <c r="O24" s="1368"/>
      <c r="P24" s="1390" t="s">
        <v>2179</v>
      </c>
      <c r="Q24" s="1504" t="str">
        <f>IFERROR(VLOOKUP('別紙様式2-2（４・５月分）'!AR20,【参考】数式用!$AT$5:$AV$22,3,FALSE),"")</f>
        <v/>
      </c>
      <c r="R24" s="1388" t="s">
        <v>2190</v>
      </c>
      <c r="S24" s="1396" t="str">
        <f>IFERROR(VLOOKUP(K22,【参考】数式用!$A$5:$AB$27,MATCH(Q24,【参考】数式用!$B$4:$AB$4,0)+1,0),"")</f>
        <v/>
      </c>
      <c r="T24" s="1459" t="s">
        <v>2267</v>
      </c>
      <c r="U24" s="1569"/>
      <c r="V24" s="1463" t="str">
        <f>IFERROR(VLOOKUP(K22,【参考】数式用!$A$5:$AB$27,MATCH(U24,【参考】数式用!$B$4:$AB$4,0)+1,0),"")</f>
        <v/>
      </c>
      <c r="W24" s="1465" t="s">
        <v>19</v>
      </c>
      <c r="X24" s="1564"/>
      <c r="Y24" s="1407" t="s">
        <v>10</v>
      </c>
      <c r="Z24" s="1564"/>
      <c r="AA24" s="1407" t="s">
        <v>45</v>
      </c>
      <c r="AB24" s="1564"/>
      <c r="AC24" s="1407" t="s">
        <v>10</v>
      </c>
      <c r="AD24" s="1564"/>
      <c r="AE24" s="1407" t="s">
        <v>2172</v>
      </c>
      <c r="AF24" s="1407" t="s">
        <v>24</v>
      </c>
      <c r="AG24" s="1407" t="str">
        <f>IF(X24&gt;=1,(AB24*12+AD24)-(X24*12+Z24)+1,"")</f>
        <v/>
      </c>
      <c r="AH24" s="1409" t="s">
        <v>38</v>
      </c>
      <c r="AI24" s="1411" t="str">
        <f>IFERROR(ROUNDDOWN(ROUND(L22*V24,0)*M22,0)*AG24,"")</f>
        <v/>
      </c>
      <c r="AJ24" s="1577" t="str">
        <f>IFERROR(ROUNDDOWN(ROUND((L22*(V24-AX22)),0)*M22,0)*AG24,"")</f>
        <v/>
      </c>
      <c r="AK24" s="1494" t="str">
        <f>IFERROR(ROUNDDOWN(ROUNDDOWN(ROUND(L22*VLOOKUP(K22,【参考】数式用!$A$5:$AB$27,MATCH("新加算Ⅳ",【参考】数式用!$B$4:$AB$4,0)+1,0),0)*M22,0)*AG24*0.5,0),"")</f>
        <v/>
      </c>
      <c r="AL24" s="1579"/>
      <c r="AM24" s="1581" t="str">
        <f>IFERROR(IF('別紙様式2-2（４・５月分）'!Q22="ベア加算","", IF(OR(U24="新加算Ⅰ",U24="新加算Ⅱ",U24="新加算Ⅲ",U24="新加算Ⅳ"),ROUNDDOWN(ROUND(L22*VLOOKUP(K22,【参考】数式用!$A$5:$I$27,MATCH("ベア加算",【参考】数式用!$B$4:$I$4,0)+1,0),0)*M22,0)*AG24,"")),"")</f>
        <v/>
      </c>
      <c r="AN24" s="1548"/>
      <c r="AO24" s="1554"/>
      <c r="AP24" s="1552"/>
      <c r="AQ24" s="1554"/>
      <c r="AR24" s="1556"/>
      <c r="AS24" s="1558"/>
      <c r="AT24" s="1532"/>
      <c r="AU24" s="542"/>
      <c r="AV24" s="1493" t="str">
        <f t="shared" ref="AV24" si="6">IF(OR(AB22&lt;&gt;7,AD22&lt;&gt;3),"V列に色付け","")</f>
        <v/>
      </c>
      <c r="AW24" s="1518"/>
      <c r="AX24" s="1507"/>
      <c r="AY24" s="671"/>
      <c r="AZ24" s="1321" t="str">
        <f>IF(AM24&lt;&gt;"",IF(AN24="○","入力済","未入力"),"")</f>
        <v/>
      </c>
      <c r="BA24" s="1321"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321" t="str">
        <f>IF(OR(U24="新加算Ⅴ（７）",U24="新加算Ⅴ（９）",U24="新加算Ⅴ（10）",U24="新加算Ⅴ（12）",U24="新加算Ⅴ（13）",U24="新加算Ⅴ（14）"),IF(OR(AP24="○",AP24="令和６年度中に満たす"),"入力済","未入力"),"")</f>
        <v/>
      </c>
      <c r="BC24" s="1321" t="str">
        <f>IF(OR(U24="新加算Ⅰ",U24="新加算Ⅱ",U24="新加算Ⅲ",U24="新加算Ⅴ（１）",U24="新加算Ⅴ（３）",U24="新加算Ⅴ（８）"),IF(OR(AQ24="○",AQ24="令和６年度中に満たす"),"入力済","未入力"),"")</f>
        <v/>
      </c>
      <c r="BD24" s="1588"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493" t="str">
        <f>IF(OR(U24="新加算Ⅰ",U24="新加算Ⅴ（１）",U24="新加算Ⅴ（２）",U24="新加算Ⅴ（５）",U24="新加算Ⅴ（７）",U24="新加算Ⅴ（10）"),IF(AS24="","未入力","入力済"),"")</f>
        <v/>
      </c>
      <c r="BF24" s="1493" t="str">
        <f>G22</f>
        <v/>
      </c>
      <c r="BG24" s="1493"/>
      <c r="BH24" s="1493"/>
    </row>
    <row r="25" spans="1:60" ht="30" customHeight="1" thickBot="1">
      <c r="A25" s="1227"/>
      <c r="B25" s="1376"/>
      <c r="C25" s="1377"/>
      <c r="D25" s="1377"/>
      <c r="E25" s="1377"/>
      <c r="F25" s="1378"/>
      <c r="G25" s="1267"/>
      <c r="H25" s="1267"/>
      <c r="I25" s="1267"/>
      <c r="J25" s="1373"/>
      <c r="K25" s="1267"/>
      <c r="L25" s="1452"/>
      <c r="M25" s="1449"/>
      <c r="N25" s="650" t="str">
        <f>IF('別紙様式2-2（４・５月分）'!Q22="","",'別紙様式2-2（４・５月分）'!Q22)</f>
        <v/>
      </c>
      <c r="O25" s="1369"/>
      <c r="P25" s="1391"/>
      <c r="Q25" s="1505"/>
      <c r="R25" s="1389"/>
      <c r="S25" s="1395"/>
      <c r="T25" s="1460"/>
      <c r="U25" s="1570"/>
      <c r="V25" s="1464"/>
      <c r="W25" s="1466"/>
      <c r="X25" s="1565"/>
      <c r="Y25" s="1408"/>
      <c r="Z25" s="1565"/>
      <c r="AA25" s="1408"/>
      <c r="AB25" s="1565"/>
      <c r="AC25" s="1408"/>
      <c r="AD25" s="1565"/>
      <c r="AE25" s="1408"/>
      <c r="AF25" s="1408"/>
      <c r="AG25" s="1408"/>
      <c r="AH25" s="1410"/>
      <c r="AI25" s="1412"/>
      <c r="AJ25" s="1578"/>
      <c r="AK25" s="1495"/>
      <c r="AL25" s="1580"/>
      <c r="AM25" s="1582"/>
      <c r="AN25" s="1549"/>
      <c r="AO25" s="1555"/>
      <c r="AP25" s="1553"/>
      <c r="AQ25" s="1555"/>
      <c r="AR25" s="1557"/>
      <c r="AS25" s="1559"/>
      <c r="AT25" s="672" t="str">
        <f t="shared" ref="AT25" si="7">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42"/>
      <c r="AV25" s="1493"/>
      <c r="AW25" s="652" t="str">
        <f>IF('別紙様式2-2（４・５月分）'!O22="","",'別紙様式2-2（４・５月分）'!O22)</f>
        <v/>
      </c>
      <c r="AX25" s="1507"/>
      <c r="AY25" s="673"/>
      <c r="AZ25" s="1321" t="str">
        <f>IF(OR(U25="新加算Ⅰ",U25="新加算Ⅱ",U25="新加算Ⅲ",U25="新加算Ⅳ",U25="新加算Ⅴ（１）",U25="新加算Ⅴ（２）",U25="新加算Ⅴ（３）",U25="新加算ⅠⅤ（４）",U25="新加算Ⅴ（５）",U25="新加算Ⅴ（６）",U25="新加算Ⅴ（８）",U25="新加算Ⅴ（11）"),IF(AJ25="○","","未入力"),"")</f>
        <v/>
      </c>
      <c r="BA25" s="1321" t="str">
        <f>IF(OR(V25="新加算Ⅰ",V25="新加算Ⅱ",V25="新加算Ⅲ",V25="新加算Ⅳ",V25="新加算Ⅴ（１）",V25="新加算Ⅴ（２）",V25="新加算Ⅴ（３）",V25="新加算ⅠⅤ（４）",V25="新加算Ⅴ（５）",V25="新加算Ⅴ（６）",V25="新加算Ⅴ（８）",V25="新加算Ⅴ（11）"),IF(AK25="○","","未入力"),"")</f>
        <v/>
      </c>
      <c r="BB25" s="1321" t="str">
        <f>IF(OR(V25="新加算Ⅴ（７）",V25="新加算Ⅴ（９）",V25="新加算Ⅴ（10）",V25="新加算Ⅴ（12）",V25="新加算Ⅴ（13）",V25="新加算Ⅴ（14）"),IF(AL25="○","","未入力"),"")</f>
        <v/>
      </c>
      <c r="BC25" s="1321" t="str">
        <f>IF(OR(V25="新加算Ⅰ",V25="新加算Ⅱ",V25="新加算Ⅲ",V25="新加算Ⅴ（１）",V25="新加算Ⅴ（３）",V25="新加算Ⅴ（８）"),IF(AM25="○","","未入力"),"")</f>
        <v/>
      </c>
      <c r="BD25" s="1588"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493" t="str">
        <f>IF(AND(U25&lt;&gt;"（参考）令和７年度の移行予定",OR(V25="新加算Ⅰ",V25="新加算Ⅴ（１）",V25="新加算Ⅴ（２）",V25="新加算Ⅴ（５）",V25="新加算Ⅴ（７）",V25="新加算Ⅴ（10）")),IF(AO25="","未入力",IF(AO25="いずれも取得していない","要件を満たさない","")),"")</f>
        <v/>
      </c>
      <c r="BF25" s="1493" t="str">
        <f>G22</f>
        <v/>
      </c>
      <c r="BG25" s="1493"/>
      <c r="BH25" s="1493"/>
    </row>
    <row r="26" spans="1:60" ht="30" customHeight="1">
      <c r="A26" s="1241">
        <v>4</v>
      </c>
      <c r="B26" s="1272" t="str">
        <f>IF(基本情報入力シート!C57="","",基本情報入力シート!C57)</f>
        <v/>
      </c>
      <c r="C26" s="1261"/>
      <c r="D26" s="1261"/>
      <c r="E26" s="1261"/>
      <c r="F26" s="1262"/>
      <c r="G26" s="1266" t="str">
        <f>IF(基本情報入力シート!M57="","",基本情報入力シート!M57)</f>
        <v/>
      </c>
      <c r="H26" s="1266" t="str">
        <f>IF(基本情報入力シート!R57="","",基本情報入力シート!R57)</f>
        <v/>
      </c>
      <c r="I26" s="1266" t="str">
        <f>IF(基本情報入力シート!W57="","",基本情報入力シート!W57)</f>
        <v/>
      </c>
      <c r="J26" s="1372" t="str">
        <f>IF(基本情報入力シート!X57="","",基本情報入力シート!X57)</f>
        <v/>
      </c>
      <c r="K26" s="1266" t="str">
        <f>IF(基本情報入力シート!Y57="","",基本情報入力シート!Y57)</f>
        <v/>
      </c>
      <c r="L26" s="1451" t="str">
        <f>IF(基本情報入力シート!AB57="","",基本情報入力シート!AB57)</f>
        <v/>
      </c>
      <c r="M26" s="1453" t="str">
        <f>IF(基本情報入力シート!AC57="","",基本情報入力シート!AC57)</f>
        <v/>
      </c>
      <c r="N26" s="647" t="str">
        <f>IF('別紙様式2-2（４・５月分）'!Q23="","",'別紙様式2-2（４・５月分）'!Q23)</f>
        <v/>
      </c>
      <c r="O26" s="1366" t="str">
        <f>IF(SUM('別紙様式2-2（４・５月分）'!R23:R25)=0,"",SUM('別紙様式2-2（４・５月分）'!R23:R25))</f>
        <v/>
      </c>
      <c r="P26" s="1380" t="str">
        <f>IFERROR(VLOOKUP('別紙様式2-2（４・５月分）'!AR23,【参考】数式用!$AT$5:$AU$22,2,FALSE),"")</f>
        <v/>
      </c>
      <c r="Q26" s="1381"/>
      <c r="R26" s="1382"/>
      <c r="S26" s="1392" t="str">
        <f>IFERROR(VLOOKUP(K26,【参考】数式用!$A$5:$AB$27,MATCH(P26,【参考】数式用!$B$4:$AB$4,0)+1,0),"")</f>
        <v/>
      </c>
      <c r="T26" s="1413" t="s">
        <v>2193</v>
      </c>
      <c r="U26" s="1562" t="str">
        <f>IF('別紙様式2-3（６月以降分）'!U26="","",'別紙様式2-3（６月以降分）'!U26)</f>
        <v/>
      </c>
      <c r="V26" s="1457" t="str">
        <f>IFERROR(VLOOKUP(K26,【参考】数式用!$A$5:$AB$27,MATCH(U26,【参考】数式用!$B$4:$AB$4,0)+1,0),"")</f>
        <v/>
      </c>
      <c r="W26" s="1350" t="s">
        <v>19</v>
      </c>
      <c r="X26" s="1534">
        <f>'別紙様式2-3（６月以降分）'!X26</f>
        <v>6</v>
      </c>
      <c r="Y26" s="1354" t="s">
        <v>10</v>
      </c>
      <c r="Z26" s="1534">
        <f>'別紙様式2-3（６月以降分）'!Z26</f>
        <v>6</v>
      </c>
      <c r="AA26" s="1354" t="s">
        <v>45</v>
      </c>
      <c r="AB26" s="1534">
        <f>'別紙様式2-3（６月以降分）'!AB26</f>
        <v>7</v>
      </c>
      <c r="AC26" s="1354" t="s">
        <v>10</v>
      </c>
      <c r="AD26" s="1534">
        <f>'別紙様式2-3（６月以降分）'!AD26</f>
        <v>3</v>
      </c>
      <c r="AE26" s="1354" t="s">
        <v>2172</v>
      </c>
      <c r="AF26" s="1354" t="s">
        <v>24</v>
      </c>
      <c r="AG26" s="1354">
        <f>IF(X26&gt;=1,(AB26*12+AD26)-(X26*12+Z26)+1,"")</f>
        <v>10</v>
      </c>
      <c r="AH26" s="1360" t="s">
        <v>38</v>
      </c>
      <c r="AI26" s="1481" t="str">
        <f>'別紙様式2-3（６月以降分）'!AI26</f>
        <v/>
      </c>
      <c r="AJ26" s="1542" t="str">
        <f>'別紙様式2-3（６月以降分）'!AJ26</f>
        <v/>
      </c>
      <c r="AK26" s="1538">
        <f>'別紙様式2-3（６月以降分）'!AK26</f>
        <v>0</v>
      </c>
      <c r="AL26" s="1540" t="str">
        <f>IF('別紙様式2-3（６月以降分）'!AL26="","",'別紙様式2-3（６月以降分）'!AL26)</f>
        <v/>
      </c>
      <c r="AM26" s="1571">
        <f>'別紙様式2-3（６月以降分）'!AM26</f>
        <v>0</v>
      </c>
      <c r="AN26" s="1573" t="str">
        <f>IF('別紙様式2-3（６月以降分）'!AN26="","",'別紙様式2-3（６月以降分）'!AN26)</f>
        <v/>
      </c>
      <c r="AO26" s="1403" t="str">
        <f>IF('別紙様式2-3（６月以降分）'!AO26="","",'別紙様式2-3（６月以降分）'!AO26)</f>
        <v/>
      </c>
      <c r="AP26" s="1502" t="str">
        <f>IF('別紙様式2-3（６月以降分）'!AP26="","",'別紙様式2-3（６月以降分）'!AP26)</f>
        <v/>
      </c>
      <c r="AQ26" s="1403" t="str">
        <f>IF('別紙様式2-3（６月以降分）'!AQ26="","",'別紙様式2-3（６月以降分）'!AQ26)</f>
        <v/>
      </c>
      <c r="AR26" s="1583" t="str">
        <f>IF('別紙様式2-3（６月以降分）'!AR26="","",'別紙様式2-3（６月以降分）'!AR26)</f>
        <v/>
      </c>
      <c r="AS26" s="1536" t="str">
        <f>IF('別紙様式2-3（６月以降分）'!AS26="","",'別紙様式2-3（６月以降分）'!AS26)</f>
        <v/>
      </c>
      <c r="AT26" s="667" t="str">
        <f t="shared" ref="AT26" si="8">IF(AV28="","",IF(V28&lt;V26,"！加算の要件上は問題ありませんが、令和６年度当初の新加算の加算率と比較して、移行後の加算率が下がる計画になっています。",""))</f>
        <v/>
      </c>
      <c r="AU26" s="674"/>
      <c r="AV26" s="1233"/>
      <c r="AW26" s="652" t="str">
        <f>IF('別紙様式2-2（４・５月分）'!O23="","",'別紙様式2-2（４・５月分）'!O23)</f>
        <v/>
      </c>
      <c r="AX26" s="1507" t="str">
        <f>IF(SUM('別紙様式2-2（４・５月分）'!P23:P25)=0,"",SUM('別紙様式2-2（４・５月分）'!P23:P25))</f>
        <v/>
      </c>
      <c r="AY26" s="1589" t="str">
        <f>IFERROR(VLOOKUP(K26,【参考】数式用!$AJ$2:$AK$24,2,FALSE),"")</f>
        <v/>
      </c>
      <c r="AZ26" s="584"/>
      <c r="BE26" s="428"/>
      <c r="BF26" s="1493" t="str">
        <f>G26</f>
        <v/>
      </c>
      <c r="BG26" s="1493"/>
      <c r="BH26" s="1493"/>
    </row>
    <row r="27" spans="1:60" ht="15" customHeight="1">
      <c r="A27" s="1226"/>
      <c r="B27" s="1272"/>
      <c r="C27" s="1261"/>
      <c r="D27" s="1261"/>
      <c r="E27" s="1261"/>
      <c r="F27" s="1262"/>
      <c r="G27" s="1266"/>
      <c r="H27" s="1266"/>
      <c r="I27" s="1266"/>
      <c r="J27" s="1372"/>
      <c r="K27" s="1266"/>
      <c r="L27" s="1451"/>
      <c r="M27" s="1453"/>
      <c r="N27" s="1370" t="str">
        <f>IF('別紙様式2-2（４・５月分）'!Q24="","",'別紙様式2-2（４・５月分）'!Q24)</f>
        <v/>
      </c>
      <c r="O27" s="1367"/>
      <c r="P27" s="1383"/>
      <c r="Q27" s="1384"/>
      <c r="R27" s="1385"/>
      <c r="S27" s="1393"/>
      <c r="T27" s="1414"/>
      <c r="U27" s="1563"/>
      <c r="V27" s="1458"/>
      <c r="W27" s="1351"/>
      <c r="X27" s="1535"/>
      <c r="Y27" s="1355"/>
      <c r="Z27" s="1535"/>
      <c r="AA27" s="1355"/>
      <c r="AB27" s="1535"/>
      <c r="AC27" s="1355"/>
      <c r="AD27" s="1535"/>
      <c r="AE27" s="1355"/>
      <c r="AF27" s="1355"/>
      <c r="AG27" s="1355"/>
      <c r="AH27" s="1361"/>
      <c r="AI27" s="1482"/>
      <c r="AJ27" s="1543"/>
      <c r="AK27" s="1539"/>
      <c r="AL27" s="1541"/>
      <c r="AM27" s="1572"/>
      <c r="AN27" s="1574"/>
      <c r="AO27" s="1404"/>
      <c r="AP27" s="1533"/>
      <c r="AQ27" s="1404"/>
      <c r="AR27" s="1584"/>
      <c r="AS27" s="1537"/>
      <c r="AT27" s="1532" t="str">
        <f t="shared" ref="AT27" si="9">IF(AV28="","",IF(OR(AB28="",AB28&lt;&gt;7,AD28="",AD28&lt;&gt;3),"！算定期間の終わりが令和７年３月になっていません。年度内の廃止予定等がなければ、算定対象月を令和７年３月にしてください。",""))</f>
        <v/>
      </c>
      <c r="AU27" s="674"/>
      <c r="AV27" s="1493"/>
      <c r="AW27" s="1518" t="str">
        <f>IF('別紙様式2-2（４・５月分）'!O24="","",'別紙様式2-2（４・５月分）'!O24)</f>
        <v/>
      </c>
      <c r="AX27" s="1507"/>
      <c r="AY27" s="1589"/>
      <c r="AZ27" s="521"/>
      <c r="BE27" s="428"/>
      <c r="BF27" s="1493" t="str">
        <f>G26</f>
        <v/>
      </c>
      <c r="BG27" s="1493"/>
      <c r="BH27" s="1493"/>
    </row>
    <row r="28" spans="1:60" ht="15" customHeight="1">
      <c r="A28" s="1240"/>
      <c r="B28" s="1272"/>
      <c r="C28" s="1261"/>
      <c r="D28" s="1261"/>
      <c r="E28" s="1261"/>
      <c r="F28" s="1262"/>
      <c r="G28" s="1266"/>
      <c r="H28" s="1266"/>
      <c r="I28" s="1266"/>
      <c r="J28" s="1372"/>
      <c r="K28" s="1266"/>
      <c r="L28" s="1451"/>
      <c r="M28" s="1453"/>
      <c r="N28" s="1371"/>
      <c r="O28" s="1368"/>
      <c r="P28" s="1390" t="s">
        <v>2179</v>
      </c>
      <c r="Q28" s="1504" t="str">
        <f>IFERROR(VLOOKUP('別紙様式2-2（４・５月分）'!AR23,【参考】数式用!$AT$5:$AV$22,3,FALSE),"")</f>
        <v/>
      </c>
      <c r="R28" s="1388" t="s">
        <v>2190</v>
      </c>
      <c r="S28" s="1394" t="str">
        <f>IFERROR(VLOOKUP(K26,【参考】数式用!$A$5:$AB$27,MATCH(Q28,【参考】数式用!$B$4:$AB$4,0)+1,0),"")</f>
        <v/>
      </c>
      <c r="T28" s="1459" t="s">
        <v>2267</v>
      </c>
      <c r="U28" s="1569"/>
      <c r="V28" s="1463" t="str">
        <f>IFERROR(VLOOKUP(K26,【参考】数式用!$A$5:$AB$27,MATCH(U28,【参考】数式用!$B$4:$AB$4,0)+1,0),"")</f>
        <v/>
      </c>
      <c r="W28" s="1465" t="s">
        <v>19</v>
      </c>
      <c r="X28" s="1564"/>
      <c r="Y28" s="1407" t="s">
        <v>10</v>
      </c>
      <c r="Z28" s="1564"/>
      <c r="AA28" s="1407" t="s">
        <v>45</v>
      </c>
      <c r="AB28" s="1564"/>
      <c r="AC28" s="1407" t="s">
        <v>10</v>
      </c>
      <c r="AD28" s="1564"/>
      <c r="AE28" s="1407" t="s">
        <v>2172</v>
      </c>
      <c r="AF28" s="1407" t="s">
        <v>24</v>
      </c>
      <c r="AG28" s="1407" t="str">
        <f>IF(X28&gt;=1,(AB28*12+AD28)-(X28*12+Z28)+1,"")</f>
        <v/>
      </c>
      <c r="AH28" s="1409" t="s">
        <v>38</v>
      </c>
      <c r="AI28" s="1411" t="str">
        <f>IFERROR(ROUNDDOWN(ROUND(L26*V28,0)*M26,0)*AG28,"")</f>
        <v/>
      </c>
      <c r="AJ28" s="1577" t="str">
        <f>IFERROR(ROUNDDOWN(ROUND((L26*(V28-AX26)),0)*M26,0)*AG28,"")</f>
        <v/>
      </c>
      <c r="AK28" s="1494" t="str">
        <f>IFERROR(ROUNDDOWN(ROUNDDOWN(ROUND(L26*VLOOKUP(K26,【参考】数式用!$A$5:$AB$27,MATCH("新加算Ⅳ",【参考】数式用!$B$4:$AB$4,0)+1,0),0)*M26,0)*AG28*0.5,0),"")</f>
        <v/>
      </c>
      <c r="AL28" s="1579"/>
      <c r="AM28" s="1581" t="str">
        <f>IFERROR(IF('別紙様式2-2（４・５月分）'!Q25="ベア加算","", IF(OR(U28="新加算Ⅰ",U28="新加算Ⅱ",U28="新加算Ⅲ",U28="新加算Ⅳ"),ROUNDDOWN(ROUND(L26*VLOOKUP(K26,【参考】数式用!$A$5:$I$27,MATCH("ベア加算",【参考】数式用!$B$4:$I$4,0)+1,0),0)*M26,0)*AG28,"")),"")</f>
        <v/>
      </c>
      <c r="AN28" s="1548"/>
      <c r="AO28" s="1554"/>
      <c r="AP28" s="1552"/>
      <c r="AQ28" s="1554"/>
      <c r="AR28" s="1556"/>
      <c r="AS28" s="1558"/>
      <c r="AT28" s="1532"/>
      <c r="AU28" s="542"/>
      <c r="AV28" s="1493" t="str">
        <f t="shared" ref="AV28" si="10">IF(OR(AB26&lt;&gt;7,AD26&lt;&gt;3),"V列に色付け","")</f>
        <v/>
      </c>
      <c r="AW28" s="1518"/>
      <c r="AX28" s="1507"/>
      <c r="AY28" s="671"/>
      <c r="AZ28" s="1321" t="str">
        <f>IF(AM28&lt;&gt;"",IF(AN28="○","入力済","未入力"),"")</f>
        <v/>
      </c>
      <c r="BA28" s="1321"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
      </c>
      <c r="BB28" s="1321" t="str">
        <f>IF(OR(U28="新加算Ⅴ（７）",U28="新加算Ⅴ（９）",U28="新加算Ⅴ（10）",U28="新加算Ⅴ（12）",U28="新加算Ⅴ（13）",U28="新加算Ⅴ（14）"),IF(OR(AP28="○",AP28="令和６年度中に満たす"),"入力済","未入力"),"")</f>
        <v/>
      </c>
      <c r="BC28" s="1321" t="str">
        <f>IF(OR(U28="新加算Ⅰ",U28="新加算Ⅱ",U28="新加算Ⅲ",U28="新加算Ⅴ（１）",U28="新加算Ⅴ（３）",U28="新加算Ⅴ（８）"),IF(OR(AQ28="○",AQ28="令和６年度中に満たす"),"入力済","未入力"),"")</f>
        <v/>
      </c>
      <c r="BD28" s="1588"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493" t="str">
        <f>IF(OR(U28="新加算Ⅰ",U28="新加算Ⅴ（１）",U28="新加算Ⅴ（２）",U28="新加算Ⅴ（５）",U28="新加算Ⅴ（７）",U28="新加算Ⅴ（10）"),IF(AS28="","未入力","入力済"),"")</f>
        <v/>
      </c>
      <c r="BF28" s="1493" t="str">
        <f>G26</f>
        <v/>
      </c>
      <c r="BG28" s="1493"/>
      <c r="BH28" s="1493"/>
    </row>
    <row r="29" spans="1:60" ht="30" customHeight="1" thickBot="1">
      <c r="A29" s="1227"/>
      <c r="B29" s="1376"/>
      <c r="C29" s="1377"/>
      <c r="D29" s="1377"/>
      <c r="E29" s="1377"/>
      <c r="F29" s="1378"/>
      <c r="G29" s="1267"/>
      <c r="H29" s="1267"/>
      <c r="I29" s="1267"/>
      <c r="J29" s="1373"/>
      <c r="K29" s="1267"/>
      <c r="L29" s="1452"/>
      <c r="M29" s="1454"/>
      <c r="N29" s="650" t="str">
        <f>IF('別紙様式2-2（４・５月分）'!Q25="","",'別紙様式2-2（４・５月分）'!Q25)</f>
        <v/>
      </c>
      <c r="O29" s="1369"/>
      <c r="P29" s="1391"/>
      <c r="Q29" s="1505"/>
      <c r="R29" s="1389"/>
      <c r="S29" s="1395"/>
      <c r="T29" s="1460"/>
      <c r="U29" s="1570"/>
      <c r="V29" s="1464"/>
      <c r="W29" s="1466"/>
      <c r="X29" s="1565"/>
      <c r="Y29" s="1408"/>
      <c r="Z29" s="1565"/>
      <c r="AA29" s="1408"/>
      <c r="AB29" s="1565"/>
      <c r="AC29" s="1408"/>
      <c r="AD29" s="1565"/>
      <c r="AE29" s="1408"/>
      <c r="AF29" s="1408"/>
      <c r="AG29" s="1408"/>
      <c r="AH29" s="1410"/>
      <c r="AI29" s="1412"/>
      <c r="AJ29" s="1578"/>
      <c r="AK29" s="1495"/>
      <c r="AL29" s="1580"/>
      <c r="AM29" s="1582"/>
      <c r="AN29" s="1549"/>
      <c r="AO29" s="1555"/>
      <c r="AP29" s="1553"/>
      <c r="AQ29" s="1555"/>
      <c r="AR29" s="1557"/>
      <c r="AS29" s="1559"/>
      <c r="AT29" s="672" t="str">
        <f t="shared" ref="AT29" si="11">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42"/>
      <c r="AV29" s="1493"/>
      <c r="AW29" s="652" t="str">
        <f>IF('別紙様式2-2（４・５月分）'!O25="","",'別紙様式2-2（４・５月分）'!O25)</f>
        <v/>
      </c>
      <c r="AX29" s="1507"/>
      <c r="AY29" s="673"/>
      <c r="AZ29" s="1321" t="str">
        <f>IF(OR(U29="新加算Ⅰ",U29="新加算Ⅱ",U29="新加算Ⅲ",U29="新加算Ⅳ",U29="新加算Ⅴ（１）",U29="新加算Ⅴ（２）",U29="新加算Ⅴ（３）",U29="新加算ⅠⅤ（４）",U29="新加算Ⅴ（５）",U29="新加算Ⅴ（６）",U29="新加算Ⅴ（８）",U29="新加算Ⅴ（11）"),IF(AJ29="○","","未入力"),"")</f>
        <v/>
      </c>
      <c r="BA29" s="1321" t="str">
        <f>IF(OR(V29="新加算Ⅰ",V29="新加算Ⅱ",V29="新加算Ⅲ",V29="新加算Ⅳ",V29="新加算Ⅴ（１）",V29="新加算Ⅴ（２）",V29="新加算Ⅴ（３）",V29="新加算ⅠⅤ（４）",V29="新加算Ⅴ（５）",V29="新加算Ⅴ（６）",V29="新加算Ⅴ（８）",V29="新加算Ⅴ（11）"),IF(AK29="○","","未入力"),"")</f>
        <v/>
      </c>
      <c r="BB29" s="1321" t="str">
        <f>IF(OR(V29="新加算Ⅴ（７）",V29="新加算Ⅴ（９）",V29="新加算Ⅴ（10）",V29="新加算Ⅴ（12）",V29="新加算Ⅴ（13）",V29="新加算Ⅴ（14）"),IF(AL29="○","","未入力"),"")</f>
        <v/>
      </c>
      <c r="BC29" s="1321" t="str">
        <f>IF(OR(V29="新加算Ⅰ",V29="新加算Ⅱ",V29="新加算Ⅲ",V29="新加算Ⅴ（１）",V29="新加算Ⅴ（３）",V29="新加算Ⅴ（８）"),IF(AM29="○","","未入力"),"")</f>
        <v/>
      </c>
      <c r="BD29" s="1588"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493" t="str">
        <f>IF(AND(U29&lt;&gt;"（参考）令和７年度の移行予定",OR(V29="新加算Ⅰ",V29="新加算Ⅴ（１）",V29="新加算Ⅴ（２）",V29="新加算Ⅴ（５）",V29="新加算Ⅴ（７）",V29="新加算Ⅴ（10）")),IF(AO29="","未入力",IF(AO29="いずれも取得していない","要件を満たさない","")),"")</f>
        <v/>
      </c>
      <c r="BF29" s="1493" t="str">
        <f>G26</f>
        <v/>
      </c>
      <c r="BG29" s="1493"/>
      <c r="BH29" s="1493"/>
    </row>
    <row r="30" spans="1:60" ht="30" customHeight="1">
      <c r="A30" s="1225">
        <v>5</v>
      </c>
      <c r="B30" s="1271" t="str">
        <f>IF(基本情報入力シート!C58="","",基本情報入力シート!C58)</f>
        <v/>
      </c>
      <c r="C30" s="1259"/>
      <c r="D30" s="1259"/>
      <c r="E30" s="1259"/>
      <c r="F30" s="1260"/>
      <c r="G30" s="1265" t="str">
        <f>IF(基本情報入力シート!M58="","",基本情報入力シート!M58)</f>
        <v/>
      </c>
      <c r="H30" s="1265" t="str">
        <f>IF(基本情報入力シート!R58="","",基本情報入力シート!R58)</f>
        <v/>
      </c>
      <c r="I30" s="1265" t="str">
        <f>IF(基本情報入力シート!W58="","",基本情報入力シート!W58)</f>
        <v/>
      </c>
      <c r="J30" s="1379" t="str">
        <f>IF(基本情報入力シート!X58="","",基本情報入力シート!X58)</f>
        <v/>
      </c>
      <c r="K30" s="1265" t="str">
        <f>IF(基本情報入力シート!Y58="","",基本情報入力シート!Y58)</f>
        <v/>
      </c>
      <c r="L30" s="1450" t="str">
        <f>IF(基本情報入力シート!AB58="","",基本情報入力シート!AB58)</f>
        <v/>
      </c>
      <c r="M30" s="1447" t="str">
        <f>IF(基本情報入力シート!AC58="","",基本情報入力シート!AC58)</f>
        <v/>
      </c>
      <c r="N30" s="647" t="str">
        <f>IF('別紙様式2-2（４・５月分）'!Q26="","",'別紙様式2-2（４・５月分）'!Q26)</f>
        <v/>
      </c>
      <c r="O30" s="1366" t="str">
        <f>IF(SUM('別紙様式2-2（４・５月分）'!R26:R28)=0,"",SUM('別紙様式2-2（４・５月分）'!R26:R28))</f>
        <v/>
      </c>
      <c r="P30" s="1380" t="str">
        <f>IFERROR(VLOOKUP('別紙様式2-2（４・５月分）'!AR26,【参考】数式用!$AT$5:$AU$22,2,FALSE),"")</f>
        <v/>
      </c>
      <c r="Q30" s="1381"/>
      <c r="R30" s="1382"/>
      <c r="S30" s="1392" t="str">
        <f>IFERROR(VLOOKUP(K30,【参考】数式用!$A$5:$AB$27,MATCH(P30,【参考】数式用!$B$4:$AB$4,0)+1,0),"")</f>
        <v/>
      </c>
      <c r="T30" s="1413" t="s">
        <v>2193</v>
      </c>
      <c r="U30" s="1562" t="str">
        <f>IF('別紙様式2-3（６月以降分）'!U30="","",'別紙様式2-3（６月以降分）'!U30)</f>
        <v/>
      </c>
      <c r="V30" s="1457" t="str">
        <f>IFERROR(VLOOKUP(K30,【参考】数式用!$A$5:$AB$27,MATCH(U30,【参考】数式用!$B$4:$AB$4,0)+1,0),"")</f>
        <v/>
      </c>
      <c r="W30" s="1350" t="s">
        <v>19</v>
      </c>
      <c r="X30" s="1534">
        <f>'別紙様式2-3（６月以降分）'!X30</f>
        <v>6</v>
      </c>
      <c r="Y30" s="1354" t="s">
        <v>10</v>
      </c>
      <c r="Z30" s="1534">
        <f>'別紙様式2-3（６月以降分）'!Z30</f>
        <v>6</v>
      </c>
      <c r="AA30" s="1354" t="s">
        <v>45</v>
      </c>
      <c r="AB30" s="1534">
        <f>'別紙様式2-3（６月以降分）'!AB30</f>
        <v>7</v>
      </c>
      <c r="AC30" s="1354" t="s">
        <v>10</v>
      </c>
      <c r="AD30" s="1534">
        <f>'別紙様式2-3（６月以降分）'!AD30</f>
        <v>3</v>
      </c>
      <c r="AE30" s="1354" t="s">
        <v>2172</v>
      </c>
      <c r="AF30" s="1354" t="s">
        <v>24</v>
      </c>
      <c r="AG30" s="1354">
        <f>IF(X30&gt;=1,(AB30*12+AD30)-(X30*12+Z30)+1,"")</f>
        <v>10</v>
      </c>
      <c r="AH30" s="1360" t="s">
        <v>38</v>
      </c>
      <c r="AI30" s="1481" t="str">
        <f>'別紙様式2-3（６月以降分）'!AI30</f>
        <v/>
      </c>
      <c r="AJ30" s="1542" t="str">
        <f>'別紙様式2-3（６月以降分）'!AJ30</f>
        <v/>
      </c>
      <c r="AK30" s="1538">
        <f>'別紙様式2-3（６月以降分）'!AK30</f>
        <v>0</v>
      </c>
      <c r="AL30" s="1540" t="str">
        <f>IF('別紙様式2-3（６月以降分）'!AL30="","",'別紙様式2-3（６月以降分）'!AL30)</f>
        <v/>
      </c>
      <c r="AM30" s="1571">
        <f>'別紙様式2-3（６月以降分）'!AM30</f>
        <v>0</v>
      </c>
      <c r="AN30" s="1573" t="str">
        <f>IF('別紙様式2-3（６月以降分）'!AN30="","",'別紙様式2-3（６月以降分）'!AN30)</f>
        <v/>
      </c>
      <c r="AO30" s="1403" t="str">
        <f>IF('別紙様式2-3（６月以降分）'!AO30="","",'別紙様式2-3（６月以降分）'!AO30)</f>
        <v/>
      </c>
      <c r="AP30" s="1502" t="str">
        <f>IF('別紙様式2-3（６月以降分）'!AP30="","",'別紙様式2-3（６月以降分）'!AP30)</f>
        <v/>
      </c>
      <c r="AQ30" s="1403" t="str">
        <f>IF('別紙様式2-3（６月以降分）'!AQ30="","",'別紙様式2-3（６月以降分）'!AQ30)</f>
        <v/>
      </c>
      <c r="AR30" s="1583" t="str">
        <f>IF('別紙様式2-3（６月以降分）'!AR30="","",'別紙様式2-3（６月以降分）'!AR30)</f>
        <v/>
      </c>
      <c r="AS30" s="1536" t="str">
        <f>IF('別紙様式2-3（６月以降分）'!AS30="","",'別紙様式2-3（６月以降分）'!AS30)</f>
        <v/>
      </c>
      <c r="AT30" s="667" t="str">
        <f t="shared" ref="AT30" si="12">IF(AV32="","",IF(V32&lt;V30,"！加算の要件上は問題ありませんが、令和６年度当初の新加算の加算率と比較して、移行後の加算率が下がる計画になっています。",""))</f>
        <v/>
      </c>
      <c r="AU30" s="674"/>
      <c r="AV30" s="1233"/>
      <c r="AW30" s="652" t="str">
        <f>IF('別紙様式2-2（４・５月分）'!O26="","",'別紙様式2-2（４・５月分）'!O26)</f>
        <v/>
      </c>
      <c r="AX30" s="1507" t="str">
        <f>IF(SUM('別紙様式2-2（４・５月分）'!P26:P28)=0,"",SUM('別紙様式2-2（４・５月分）'!P26:P28))</f>
        <v/>
      </c>
      <c r="AY30" s="1590" t="str">
        <f>IFERROR(VLOOKUP(K30,【参考】数式用!$AJ$2:$AK$24,2,FALSE),"")</f>
        <v/>
      </c>
      <c r="AZ30" s="584"/>
      <c r="BE30" s="428"/>
      <c r="BF30" s="1493" t="str">
        <f>G30</f>
        <v/>
      </c>
      <c r="BG30" s="1493"/>
      <c r="BH30" s="1493"/>
    </row>
    <row r="31" spans="1:60" ht="15" customHeight="1">
      <c r="A31" s="1226"/>
      <c r="B31" s="1272"/>
      <c r="C31" s="1261"/>
      <c r="D31" s="1261"/>
      <c r="E31" s="1261"/>
      <c r="F31" s="1262"/>
      <c r="G31" s="1266"/>
      <c r="H31" s="1266"/>
      <c r="I31" s="1266"/>
      <c r="J31" s="1372"/>
      <c r="K31" s="1266"/>
      <c r="L31" s="1451"/>
      <c r="M31" s="1448"/>
      <c r="N31" s="1370" t="str">
        <f>IF('別紙様式2-2（４・５月分）'!Q27="","",'別紙様式2-2（４・５月分）'!Q27)</f>
        <v/>
      </c>
      <c r="O31" s="1367"/>
      <c r="P31" s="1383"/>
      <c r="Q31" s="1384"/>
      <c r="R31" s="1385"/>
      <c r="S31" s="1393"/>
      <c r="T31" s="1414"/>
      <c r="U31" s="1563"/>
      <c r="V31" s="1458"/>
      <c r="W31" s="1351"/>
      <c r="X31" s="1535"/>
      <c r="Y31" s="1355"/>
      <c r="Z31" s="1535"/>
      <c r="AA31" s="1355"/>
      <c r="AB31" s="1535"/>
      <c r="AC31" s="1355"/>
      <c r="AD31" s="1535"/>
      <c r="AE31" s="1355"/>
      <c r="AF31" s="1355"/>
      <c r="AG31" s="1355"/>
      <c r="AH31" s="1361"/>
      <c r="AI31" s="1482"/>
      <c r="AJ31" s="1543"/>
      <c r="AK31" s="1539"/>
      <c r="AL31" s="1541"/>
      <c r="AM31" s="1572"/>
      <c r="AN31" s="1574"/>
      <c r="AO31" s="1404"/>
      <c r="AP31" s="1533"/>
      <c r="AQ31" s="1404"/>
      <c r="AR31" s="1584"/>
      <c r="AS31" s="1537"/>
      <c r="AT31" s="1532" t="str">
        <f t="shared" ref="AT31" si="13">IF(AV32="","",IF(OR(AB32="",AB32&lt;&gt;7,AD32="",AD32&lt;&gt;3),"！算定期間の終わりが令和７年３月になっていません。年度内の廃止予定等がなければ、算定対象月を令和７年３月にしてください。",""))</f>
        <v/>
      </c>
      <c r="AU31" s="674"/>
      <c r="AV31" s="1493"/>
      <c r="AW31" s="1518" t="str">
        <f>IF('別紙様式2-2（４・５月分）'!O27="","",'別紙様式2-2（４・５月分）'!O27)</f>
        <v/>
      </c>
      <c r="AX31" s="1507"/>
      <c r="AY31" s="1589"/>
      <c r="AZ31" s="521"/>
      <c r="BE31" s="428"/>
      <c r="BF31" s="1493" t="str">
        <f>G30</f>
        <v/>
      </c>
      <c r="BG31" s="1493"/>
      <c r="BH31" s="1493"/>
    </row>
    <row r="32" spans="1:60" ht="15" customHeight="1">
      <c r="A32" s="1240"/>
      <c r="B32" s="1272"/>
      <c r="C32" s="1261"/>
      <c r="D32" s="1261"/>
      <c r="E32" s="1261"/>
      <c r="F32" s="1262"/>
      <c r="G32" s="1266"/>
      <c r="H32" s="1266"/>
      <c r="I32" s="1266"/>
      <c r="J32" s="1372"/>
      <c r="K32" s="1266"/>
      <c r="L32" s="1451"/>
      <c r="M32" s="1448"/>
      <c r="N32" s="1371"/>
      <c r="O32" s="1368"/>
      <c r="P32" s="1390" t="s">
        <v>2269</v>
      </c>
      <c r="Q32" s="1504" t="str">
        <f>IFERROR(VLOOKUP('別紙様式2-2（４・５月分）'!AR26,【参考】数式用!$AT$5:$AV$22,3,FALSE),"")</f>
        <v/>
      </c>
      <c r="R32" s="1388" t="s">
        <v>2190</v>
      </c>
      <c r="S32" s="1396" t="str">
        <f>IFERROR(VLOOKUP(K30,【参考】数式用!$A$5:$AB$27,MATCH(Q32,【参考】数式用!$B$4:$AB$4,0)+1,0),"")</f>
        <v/>
      </c>
      <c r="T32" s="1459" t="s">
        <v>2267</v>
      </c>
      <c r="U32" s="1569"/>
      <c r="V32" s="1463" t="str">
        <f>IFERROR(VLOOKUP(K30,【参考】数式用!$A$5:$AB$27,MATCH(U32,【参考】数式用!$B$4:$AB$4,0)+1,0),"")</f>
        <v/>
      </c>
      <c r="W32" s="1465" t="s">
        <v>19</v>
      </c>
      <c r="X32" s="1564"/>
      <c r="Y32" s="1407" t="s">
        <v>10</v>
      </c>
      <c r="Z32" s="1564"/>
      <c r="AA32" s="1407" t="s">
        <v>45</v>
      </c>
      <c r="AB32" s="1564"/>
      <c r="AC32" s="1407" t="s">
        <v>10</v>
      </c>
      <c r="AD32" s="1564"/>
      <c r="AE32" s="1407" t="s">
        <v>2172</v>
      </c>
      <c r="AF32" s="1407" t="s">
        <v>24</v>
      </c>
      <c r="AG32" s="1407" t="str">
        <f>IF(X32&gt;=1,(AB32*12+AD32)-(X32*12+Z32)+1,"")</f>
        <v/>
      </c>
      <c r="AH32" s="1409" t="s">
        <v>38</v>
      </c>
      <c r="AI32" s="1411" t="str">
        <f t="shared" ref="AI32" si="14">IFERROR(ROUNDDOWN(ROUND(L30*V32,0)*M30,0)*AG32,"")</f>
        <v/>
      </c>
      <c r="AJ32" s="1577" t="str">
        <f>IFERROR(ROUNDDOWN(ROUND((L30*(V32-AX30)),0)*M30,0)*AG32,"")</f>
        <v/>
      </c>
      <c r="AK32" s="1494" t="str">
        <f>IFERROR(ROUNDDOWN(ROUNDDOWN(ROUND(L30*VLOOKUP(K30,【参考】数式用!$A$5:$AB$27,MATCH("新加算Ⅳ",【参考】数式用!$B$4:$AB$4,0)+1,0),0)*M30,0)*AG32*0.5,0),"")</f>
        <v/>
      </c>
      <c r="AL32" s="1579"/>
      <c r="AM32" s="1585" t="str">
        <f>IFERROR(IF('別紙様式2-2（４・５月分）'!Q28="ベア加算","", IF(OR(U32="新加算Ⅰ",U32="新加算Ⅱ",U32="新加算Ⅲ",U32="新加算Ⅳ"),ROUNDDOWN(ROUND(L30*VLOOKUP(K30,【参考】数式用!$A$5:$I$27,MATCH("ベア加算",【参考】数式用!$B$4:$I$4,0)+1,0),0)*M30,0)*AG32,"")),"")</f>
        <v/>
      </c>
      <c r="AN32" s="1548"/>
      <c r="AO32" s="1554"/>
      <c r="AP32" s="1552"/>
      <c r="AQ32" s="1554"/>
      <c r="AR32" s="1556"/>
      <c r="AS32" s="1558"/>
      <c r="AT32" s="1532"/>
      <c r="AU32" s="542"/>
      <c r="AV32" s="1493" t="str">
        <f t="shared" ref="AV32" si="15">IF(OR(AB30&lt;&gt;7,AD30&lt;&gt;3),"V列に色付け","")</f>
        <v/>
      </c>
      <c r="AW32" s="1518"/>
      <c r="AX32" s="1507"/>
      <c r="AY32" s="671"/>
      <c r="AZ32" s="1321" t="str">
        <f>IF(AM32&lt;&gt;"",IF(AN32="○","入力済","未入力"),"")</f>
        <v/>
      </c>
      <c r="BA32" s="1321"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321" t="str">
        <f>IF(OR(U32="新加算Ⅴ（７）",U32="新加算Ⅴ（９）",U32="新加算Ⅴ（10）",U32="新加算Ⅴ（12）",U32="新加算Ⅴ（13）",U32="新加算Ⅴ（14）"),IF(OR(AP32="○",AP32="令和６年度中に満たす"),"入力済","未入力"),"")</f>
        <v/>
      </c>
      <c r="BC32" s="1321" t="str">
        <f>IF(OR(U32="新加算Ⅰ",U32="新加算Ⅱ",U32="新加算Ⅲ",U32="新加算Ⅴ（１）",U32="新加算Ⅴ（３）",U32="新加算Ⅴ（８）"),IF(OR(AQ32="○",AQ32="令和６年度中に満たす"),"入力済","未入力"),"")</f>
        <v/>
      </c>
      <c r="BD32" s="1588"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493" t="str">
        <f>IF(OR(U32="新加算Ⅰ",U32="新加算Ⅴ（１）",U32="新加算Ⅴ（２）",U32="新加算Ⅴ（５）",U32="新加算Ⅴ（７）",U32="新加算Ⅴ（10）"),IF(AS32="","未入力","入力済"),"")</f>
        <v/>
      </c>
      <c r="BF32" s="1493" t="str">
        <f>G30</f>
        <v/>
      </c>
      <c r="BG32" s="1493"/>
      <c r="BH32" s="1493"/>
    </row>
    <row r="33" spans="1:60" ht="30" customHeight="1" thickBot="1">
      <c r="A33" s="1227"/>
      <c r="B33" s="1376"/>
      <c r="C33" s="1377"/>
      <c r="D33" s="1377"/>
      <c r="E33" s="1377"/>
      <c r="F33" s="1378"/>
      <c r="G33" s="1267"/>
      <c r="H33" s="1267"/>
      <c r="I33" s="1267"/>
      <c r="J33" s="1373"/>
      <c r="K33" s="1267"/>
      <c r="L33" s="1452"/>
      <c r="M33" s="1449"/>
      <c r="N33" s="650" t="str">
        <f>IF('別紙様式2-2（４・５月分）'!Q28="","",'別紙様式2-2（４・５月分）'!Q28)</f>
        <v/>
      </c>
      <c r="O33" s="1369"/>
      <c r="P33" s="1391"/>
      <c r="Q33" s="1505"/>
      <c r="R33" s="1389"/>
      <c r="S33" s="1395"/>
      <c r="T33" s="1460"/>
      <c r="U33" s="1570"/>
      <c r="V33" s="1464"/>
      <c r="W33" s="1466"/>
      <c r="X33" s="1565"/>
      <c r="Y33" s="1408"/>
      <c r="Z33" s="1565"/>
      <c r="AA33" s="1408"/>
      <c r="AB33" s="1565"/>
      <c r="AC33" s="1408"/>
      <c r="AD33" s="1565"/>
      <c r="AE33" s="1408"/>
      <c r="AF33" s="1408"/>
      <c r="AG33" s="1408"/>
      <c r="AH33" s="1410"/>
      <c r="AI33" s="1412"/>
      <c r="AJ33" s="1578"/>
      <c r="AK33" s="1495"/>
      <c r="AL33" s="1580"/>
      <c r="AM33" s="1586"/>
      <c r="AN33" s="1549"/>
      <c r="AO33" s="1555"/>
      <c r="AP33" s="1553"/>
      <c r="AQ33" s="1555"/>
      <c r="AR33" s="1557"/>
      <c r="AS33" s="1559"/>
      <c r="AT33" s="672" t="str">
        <f t="shared" ref="AT33" si="16">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42"/>
      <c r="AV33" s="1493"/>
      <c r="AW33" s="652" t="str">
        <f>IF('別紙様式2-2（４・５月分）'!O28="","",'別紙様式2-2（４・５月分）'!O28)</f>
        <v/>
      </c>
      <c r="AX33" s="1507"/>
      <c r="AY33" s="673"/>
      <c r="AZ33" s="1321" t="str">
        <f>IF(OR(U33="新加算Ⅰ",U33="新加算Ⅱ",U33="新加算Ⅲ",U33="新加算Ⅳ",U33="新加算Ⅴ（１）",U33="新加算Ⅴ（２）",U33="新加算Ⅴ（３）",U33="新加算ⅠⅤ（４）",U33="新加算Ⅴ（５）",U33="新加算Ⅴ（６）",U33="新加算Ⅴ（８）",U33="新加算Ⅴ（11）"),IF(AJ33="○","","未入力"),"")</f>
        <v/>
      </c>
      <c r="BA33" s="1321" t="str">
        <f>IF(OR(V33="新加算Ⅰ",V33="新加算Ⅱ",V33="新加算Ⅲ",V33="新加算Ⅳ",V33="新加算Ⅴ（１）",V33="新加算Ⅴ（２）",V33="新加算Ⅴ（３）",V33="新加算ⅠⅤ（４）",V33="新加算Ⅴ（５）",V33="新加算Ⅴ（６）",V33="新加算Ⅴ（８）",V33="新加算Ⅴ（11）"),IF(AK33="○","","未入力"),"")</f>
        <v/>
      </c>
      <c r="BB33" s="1321" t="str">
        <f>IF(OR(V33="新加算Ⅴ（７）",V33="新加算Ⅴ（９）",V33="新加算Ⅴ（10）",V33="新加算Ⅴ（12）",V33="新加算Ⅴ（13）",V33="新加算Ⅴ（14）"),IF(AL33="○","","未入力"),"")</f>
        <v/>
      </c>
      <c r="BC33" s="1321" t="str">
        <f>IF(OR(V33="新加算Ⅰ",V33="新加算Ⅱ",V33="新加算Ⅲ",V33="新加算Ⅴ（１）",V33="新加算Ⅴ（３）",V33="新加算Ⅴ（８）"),IF(AM33="○","","未入力"),"")</f>
        <v/>
      </c>
      <c r="BD33" s="1588"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493" t="str">
        <f>IF(AND(U33&lt;&gt;"（参考）令和７年度の移行予定",OR(V33="新加算Ⅰ",V33="新加算Ⅴ（１）",V33="新加算Ⅴ（２）",V33="新加算Ⅴ（５）",V33="新加算Ⅴ（７）",V33="新加算Ⅴ（10）")),IF(AO33="","未入力",IF(AO33="いずれも取得していない","要件を満たさない","")),"")</f>
        <v/>
      </c>
      <c r="BF33" s="1493" t="str">
        <f>G30</f>
        <v/>
      </c>
      <c r="BG33" s="1493"/>
      <c r="BH33" s="1493"/>
    </row>
    <row r="34" spans="1:60" ht="30" customHeight="1">
      <c r="A34" s="1241">
        <v>6</v>
      </c>
      <c r="B34" s="1272" t="str">
        <f>IF(基本情報入力シート!C59="","",基本情報入力シート!C59)</f>
        <v/>
      </c>
      <c r="C34" s="1261"/>
      <c r="D34" s="1261"/>
      <c r="E34" s="1261"/>
      <c r="F34" s="1262"/>
      <c r="G34" s="1266" t="str">
        <f>IF(基本情報入力シート!M59="","",基本情報入力シート!M59)</f>
        <v/>
      </c>
      <c r="H34" s="1266" t="str">
        <f>IF(基本情報入力シート!R59="","",基本情報入力シート!R59)</f>
        <v/>
      </c>
      <c r="I34" s="1266" t="str">
        <f>IF(基本情報入力シート!W59="","",基本情報入力シート!W59)</f>
        <v/>
      </c>
      <c r="J34" s="1372" t="str">
        <f>IF(基本情報入力シート!X59="","",基本情報入力シート!X59)</f>
        <v/>
      </c>
      <c r="K34" s="1266" t="str">
        <f>IF(基本情報入力シート!Y59="","",基本情報入力シート!Y59)</f>
        <v/>
      </c>
      <c r="L34" s="1451" t="str">
        <f>IF(基本情報入力シート!AB59="","",基本情報入力シート!AB59)</f>
        <v/>
      </c>
      <c r="M34" s="1453" t="str">
        <f>IF(基本情報入力シート!AC59="","",基本情報入力シート!AC59)</f>
        <v/>
      </c>
      <c r="N34" s="647" t="str">
        <f>IF('別紙様式2-2（４・５月分）'!Q29="","",'別紙様式2-2（４・５月分）'!Q29)</f>
        <v/>
      </c>
      <c r="O34" s="1366" t="str">
        <f>IF(SUM('別紙様式2-2（４・５月分）'!R29:R31)=0,"",SUM('別紙様式2-2（４・５月分）'!R29:R31))</f>
        <v/>
      </c>
      <c r="P34" s="1380" t="str">
        <f>IFERROR(VLOOKUP('別紙様式2-2（４・５月分）'!AR29,【参考】数式用!$AT$5:$AU$22,2,FALSE),"")</f>
        <v/>
      </c>
      <c r="Q34" s="1381"/>
      <c r="R34" s="1382"/>
      <c r="S34" s="1392" t="str">
        <f>IFERROR(VLOOKUP(K34,【参考】数式用!$A$5:$AB$27,MATCH(P34,【参考】数式用!$B$4:$AB$4,0)+1,0),"")</f>
        <v/>
      </c>
      <c r="T34" s="1413" t="s">
        <v>2193</v>
      </c>
      <c r="U34" s="1562" t="str">
        <f>IF('別紙様式2-3（６月以降分）'!U34="","",'別紙様式2-3（６月以降分）'!U34)</f>
        <v/>
      </c>
      <c r="V34" s="1457" t="str">
        <f>IFERROR(VLOOKUP(K34,【参考】数式用!$A$5:$AB$27,MATCH(U34,【参考】数式用!$B$4:$AB$4,0)+1,0),"")</f>
        <v/>
      </c>
      <c r="W34" s="1350" t="s">
        <v>19</v>
      </c>
      <c r="X34" s="1534">
        <f>'別紙様式2-3（６月以降分）'!X34</f>
        <v>6</v>
      </c>
      <c r="Y34" s="1354" t="s">
        <v>10</v>
      </c>
      <c r="Z34" s="1534">
        <f>'別紙様式2-3（６月以降分）'!Z34</f>
        <v>6</v>
      </c>
      <c r="AA34" s="1354" t="s">
        <v>45</v>
      </c>
      <c r="AB34" s="1534">
        <f>'別紙様式2-3（６月以降分）'!AB34</f>
        <v>7</v>
      </c>
      <c r="AC34" s="1354" t="s">
        <v>10</v>
      </c>
      <c r="AD34" s="1534">
        <f>'別紙様式2-3（６月以降分）'!AD34</f>
        <v>3</v>
      </c>
      <c r="AE34" s="1354" t="s">
        <v>2172</v>
      </c>
      <c r="AF34" s="1354" t="s">
        <v>24</v>
      </c>
      <c r="AG34" s="1354">
        <f>IF(X34&gt;=1,(AB34*12+AD34)-(X34*12+Z34)+1,"")</f>
        <v>10</v>
      </c>
      <c r="AH34" s="1360" t="s">
        <v>38</v>
      </c>
      <c r="AI34" s="1481" t="str">
        <f>'別紙様式2-3（６月以降分）'!AI34</f>
        <v/>
      </c>
      <c r="AJ34" s="1542" t="str">
        <f>'別紙様式2-3（６月以降分）'!AJ34</f>
        <v/>
      </c>
      <c r="AK34" s="1538">
        <f>'別紙様式2-3（６月以降分）'!AK34</f>
        <v>0</v>
      </c>
      <c r="AL34" s="1540" t="str">
        <f>IF('別紙様式2-3（６月以降分）'!AL34="","",'別紙様式2-3（６月以降分）'!AL34)</f>
        <v/>
      </c>
      <c r="AM34" s="1571">
        <f>'別紙様式2-3（６月以降分）'!AM34</f>
        <v>0</v>
      </c>
      <c r="AN34" s="1573" t="str">
        <f>IF('別紙様式2-3（６月以降分）'!AN34="","",'別紙様式2-3（６月以降分）'!AN34)</f>
        <v/>
      </c>
      <c r="AO34" s="1403" t="str">
        <f>IF('別紙様式2-3（６月以降分）'!AO34="","",'別紙様式2-3（６月以降分）'!AO34)</f>
        <v/>
      </c>
      <c r="AP34" s="1502" t="str">
        <f>IF('別紙様式2-3（６月以降分）'!AP34="","",'別紙様式2-3（６月以降分）'!AP34)</f>
        <v/>
      </c>
      <c r="AQ34" s="1403" t="str">
        <f>IF('別紙様式2-3（６月以降分）'!AQ34="","",'別紙様式2-3（６月以降分）'!AQ34)</f>
        <v/>
      </c>
      <c r="AR34" s="1583" t="str">
        <f>IF('別紙様式2-3（６月以降分）'!AR34="","",'別紙様式2-3（６月以降分）'!AR34)</f>
        <v/>
      </c>
      <c r="AS34" s="1536" t="str">
        <f>IF('別紙様式2-3（６月以降分）'!AS34="","",'別紙様式2-3（６月以降分）'!AS34)</f>
        <v/>
      </c>
      <c r="AT34" s="667" t="str">
        <f t="shared" ref="AT34" si="17">IF(AV36="","",IF(V36&lt;V34,"！加算の要件上は問題ありませんが、令和６年度当初の新加算の加算率と比較して、移行後の加算率が下がる計画になっています。",""))</f>
        <v/>
      </c>
      <c r="AU34" s="674"/>
      <c r="AV34" s="1233"/>
      <c r="AW34" s="652" t="str">
        <f>IF('別紙様式2-2（４・５月分）'!O29="","",'別紙様式2-2（４・５月分）'!O29)</f>
        <v/>
      </c>
      <c r="AX34" s="1507" t="str">
        <f>IF(SUM('別紙様式2-2（４・５月分）'!P29:P31)=0,"",SUM('別紙様式2-2（４・５月分）'!P29:P31))</f>
        <v/>
      </c>
      <c r="AY34" s="1589" t="str">
        <f>IFERROR(VLOOKUP(K34,【参考】数式用!$AJ$2:$AK$24,2,FALSE),"")</f>
        <v/>
      </c>
      <c r="AZ34" s="584"/>
      <c r="BE34" s="428"/>
      <c r="BF34" s="1493" t="str">
        <f>G34</f>
        <v/>
      </c>
      <c r="BG34" s="1493"/>
      <c r="BH34" s="1493"/>
    </row>
    <row r="35" spans="1:60" ht="15" customHeight="1">
      <c r="A35" s="1226"/>
      <c r="B35" s="1272"/>
      <c r="C35" s="1261"/>
      <c r="D35" s="1261"/>
      <c r="E35" s="1261"/>
      <c r="F35" s="1262"/>
      <c r="G35" s="1266"/>
      <c r="H35" s="1266"/>
      <c r="I35" s="1266"/>
      <c r="J35" s="1372"/>
      <c r="K35" s="1266"/>
      <c r="L35" s="1451"/>
      <c r="M35" s="1453"/>
      <c r="N35" s="1370" t="str">
        <f>IF('別紙様式2-2（４・５月分）'!Q30="","",'別紙様式2-2（４・５月分）'!Q30)</f>
        <v/>
      </c>
      <c r="O35" s="1367"/>
      <c r="P35" s="1383"/>
      <c r="Q35" s="1384"/>
      <c r="R35" s="1385"/>
      <c r="S35" s="1393"/>
      <c r="T35" s="1414"/>
      <c r="U35" s="1563"/>
      <c r="V35" s="1458"/>
      <c r="W35" s="1351"/>
      <c r="X35" s="1535"/>
      <c r="Y35" s="1355"/>
      <c r="Z35" s="1535"/>
      <c r="AA35" s="1355"/>
      <c r="AB35" s="1535"/>
      <c r="AC35" s="1355"/>
      <c r="AD35" s="1535"/>
      <c r="AE35" s="1355"/>
      <c r="AF35" s="1355"/>
      <c r="AG35" s="1355"/>
      <c r="AH35" s="1361"/>
      <c r="AI35" s="1482"/>
      <c r="AJ35" s="1543"/>
      <c r="AK35" s="1539"/>
      <c r="AL35" s="1541"/>
      <c r="AM35" s="1572"/>
      <c r="AN35" s="1574"/>
      <c r="AO35" s="1404"/>
      <c r="AP35" s="1533"/>
      <c r="AQ35" s="1404"/>
      <c r="AR35" s="1584"/>
      <c r="AS35" s="1537"/>
      <c r="AT35" s="1532" t="str">
        <f t="shared" ref="AT35" si="18">IF(AV36="","",IF(OR(AB36="",AB36&lt;&gt;7,AD36="",AD36&lt;&gt;3),"！算定期間の終わりが令和７年３月になっていません。年度内の廃止予定等がなければ、算定対象月を令和７年３月にしてください。",""))</f>
        <v/>
      </c>
      <c r="AU35" s="674"/>
      <c r="AV35" s="1493"/>
      <c r="AW35" s="1518" t="str">
        <f>IF('別紙様式2-2（４・５月分）'!O30="","",'別紙様式2-2（４・５月分）'!O30)</f>
        <v/>
      </c>
      <c r="AX35" s="1507"/>
      <c r="AY35" s="1589"/>
      <c r="AZ35" s="521"/>
      <c r="BE35" s="428"/>
      <c r="BF35" s="1493" t="str">
        <f>G34</f>
        <v/>
      </c>
      <c r="BG35" s="1493"/>
      <c r="BH35" s="1493"/>
    </row>
    <row r="36" spans="1:60" ht="15" customHeight="1">
      <c r="A36" s="1240"/>
      <c r="B36" s="1272"/>
      <c r="C36" s="1261"/>
      <c r="D36" s="1261"/>
      <c r="E36" s="1261"/>
      <c r="F36" s="1262"/>
      <c r="G36" s="1266"/>
      <c r="H36" s="1266"/>
      <c r="I36" s="1266"/>
      <c r="J36" s="1372"/>
      <c r="K36" s="1266"/>
      <c r="L36" s="1451"/>
      <c r="M36" s="1453"/>
      <c r="N36" s="1371"/>
      <c r="O36" s="1368"/>
      <c r="P36" s="1390" t="s">
        <v>2179</v>
      </c>
      <c r="Q36" s="1504" t="str">
        <f>IFERROR(VLOOKUP('別紙様式2-2（４・５月分）'!AR29,【参考】数式用!$AT$5:$AV$22,3,FALSE),"")</f>
        <v/>
      </c>
      <c r="R36" s="1388" t="s">
        <v>2190</v>
      </c>
      <c r="S36" s="1394" t="str">
        <f>IFERROR(VLOOKUP(K34,【参考】数式用!$A$5:$AB$27,MATCH(Q36,【参考】数式用!$B$4:$AB$4,0)+1,0),"")</f>
        <v/>
      </c>
      <c r="T36" s="1459" t="s">
        <v>2267</v>
      </c>
      <c r="U36" s="1569"/>
      <c r="V36" s="1463" t="str">
        <f>IFERROR(VLOOKUP(K34,【参考】数式用!$A$5:$AB$27,MATCH(U36,【参考】数式用!$B$4:$AB$4,0)+1,0),"")</f>
        <v/>
      </c>
      <c r="W36" s="1465" t="s">
        <v>19</v>
      </c>
      <c r="X36" s="1564"/>
      <c r="Y36" s="1407" t="s">
        <v>10</v>
      </c>
      <c r="Z36" s="1564"/>
      <c r="AA36" s="1407" t="s">
        <v>45</v>
      </c>
      <c r="AB36" s="1564"/>
      <c r="AC36" s="1407" t="s">
        <v>10</v>
      </c>
      <c r="AD36" s="1564"/>
      <c r="AE36" s="1407" t="s">
        <v>2172</v>
      </c>
      <c r="AF36" s="1407" t="s">
        <v>24</v>
      </c>
      <c r="AG36" s="1407" t="str">
        <f>IF(X36&gt;=1,(AB36*12+AD36)-(X36*12+Z36)+1,"")</f>
        <v/>
      </c>
      <c r="AH36" s="1409" t="s">
        <v>38</v>
      </c>
      <c r="AI36" s="1411" t="str">
        <f t="shared" ref="AI36" si="19">IFERROR(ROUNDDOWN(ROUND(L34*V36,0)*M34,0)*AG36,"")</f>
        <v/>
      </c>
      <c r="AJ36" s="1577" t="str">
        <f>IFERROR(ROUNDDOWN(ROUND((L34*(V36-AX34)),0)*M34,0)*AG36,"")</f>
        <v/>
      </c>
      <c r="AK36" s="1494" t="str">
        <f>IFERROR(ROUNDDOWN(ROUNDDOWN(ROUND(L34*VLOOKUP(K34,【参考】数式用!$A$5:$AB$27,MATCH("新加算Ⅳ",【参考】数式用!$B$4:$AB$4,0)+1,0),0)*M34,0)*AG36*0.5,0),"")</f>
        <v/>
      </c>
      <c r="AL36" s="1579"/>
      <c r="AM36" s="1585" t="str">
        <f>IFERROR(IF('別紙様式2-2（４・５月分）'!Q31="ベア加算","", IF(OR(U36="新加算Ⅰ",U36="新加算Ⅱ",U36="新加算Ⅲ",U36="新加算Ⅳ"),ROUNDDOWN(ROUND(L34*VLOOKUP(K34,【参考】数式用!$A$5:$I$27,MATCH("ベア加算",【参考】数式用!$B$4:$I$4,0)+1,0),0)*M34,0)*AG36,"")),"")</f>
        <v/>
      </c>
      <c r="AN36" s="1548"/>
      <c r="AO36" s="1554"/>
      <c r="AP36" s="1552"/>
      <c r="AQ36" s="1554"/>
      <c r="AR36" s="1556"/>
      <c r="AS36" s="1558"/>
      <c r="AT36" s="1532"/>
      <c r="AU36" s="542"/>
      <c r="AV36" s="1493" t="str">
        <f t="shared" ref="AV36" si="20">IF(OR(AB34&lt;&gt;7,AD34&lt;&gt;3),"V列に色付け","")</f>
        <v/>
      </c>
      <c r="AW36" s="1518"/>
      <c r="AX36" s="1507"/>
      <c r="AY36" s="671"/>
      <c r="AZ36" s="1321" t="str">
        <f>IF(AM36&lt;&gt;"",IF(AN36="○","入力済","未入力"),"")</f>
        <v/>
      </c>
      <c r="BA36" s="1321"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321" t="str">
        <f>IF(OR(U36="新加算Ⅴ（７）",U36="新加算Ⅴ（９）",U36="新加算Ⅴ（10）",U36="新加算Ⅴ（12）",U36="新加算Ⅴ（13）",U36="新加算Ⅴ（14）"),IF(OR(AP36="○",AP36="令和６年度中に満たす"),"入力済","未入力"),"")</f>
        <v/>
      </c>
      <c r="BC36" s="1321" t="str">
        <f>IF(OR(U36="新加算Ⅰ",U36="新加算Ⅱ",U36="新加算Ⅲ",U36="新加算Ⅴ（１）",U36="新加算Ⅴ（３）",U36="新加算Ⅴ（８）"),IF(OR(AQ36="○",AQ36="令和６年度中に満たす"),"入力済","未入力"),"")</f>
        <v/>
      </c>
      <c r="BD36" s="1588"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493" t="str">
        <f>IF(OR(U36="新加算Ⅰ",U36="新加算Ⅴ（１）",U36="新加算Ⅴ（２）",U36="新加算Ⅴ（５）",U36="新加算Ⅴ（７）",U36="新加算Ⅴ（10）"),IF(AS36="","未入力","入力済"),"")</f>
        <v/>
      </c>
      <c r="BF36" s="1493" t="str">
        <f>G34</f>
        <v/>
      </c>
      <c r="BG36" s="1493"/>
      <c r="BH36" s="1493"/>
    </row>
    <row r="37" spans="1:60" ht="30" customHeight="1" thickBot="1">
      <c r="A37" s="1227"/>
      <c r="B37" s="1376"/>
      <c r="C37" s="1397"/>
      <c r="D37" s="1377"/>
      <c r="E37" s="1377"/>
      <c r="F37" s="1378"/>
      <c r="G37" s="1267"/>
      <c r="H37" s="1267"/>
      <c r="I37" s="1267"/>
      <c r="J37" s="1373"/>
      <c r="K37" s="1267"/>
      <c r="L37" s="1452"/>
      <c r="M37" s="1454"/>
      <c r="N37" s="650" t="str">
        <f>IF('別紙様式2-2（４・５月分）'!Q31="","",'別紙様式2-2（４・５月分）'!Q31)</f>
        <v/>
      </c>
      <c r="O37" s="1369"/>
      <c r="P37" s="1391"/>
      <c r="Q37" s="1505"/>
      <c r="R37" s="1389"/>
      <c r="S37" s="1395"/>
      <c r="T37" s="1460"/>
      <c r="U37" s="1570"/>
      <c r="V37" s="1464"/>
      <c r="W37" s="1466"/>
      <c r="X37" s="1565"/>
      <c r="Y37" s="1408"/>
      <c r="Z37" s="1565"/>
      <c r="AA37" s="1408"/>
      <c r="AB37" s="1565"/>
      <c r="AC37" s="1408"/>
      <c r="AD37" s="1565"/>
      <c r="AE37" s="1408"/>
      <c r="AF37" s="1408"/>
      <c r="AG37" s="1408"/>
      <c r="AH37" s="1410"/>
      <c r="AI37" s="1412"/>
      <c r="AJ37" s="1578"/>
      <c r="AK37" s="1495"/>
      <c r="AL37" s="1580"/>
      <c r="AM37" s="1586"/>
      <c r="AN37" s="1549"/>
      <c r="AO37" s="1555"/>
      <c r="AP37" s="1553"/>
      <c r="AQ37" s="1555"/>
      <c r="AR37" s="1557"/>
      <c r="AS37" s="1559"/>
      <c r="AT37" s="672" t="str">
        <f t="shared" ref="AT37" si="21">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42"/>
      <c r="AV37" s="1493"/>
      <c r="AW37" s="652" t="str">
        <f>IF('別紙様式2-2（４・５月分）'!O31="","",'別紙様式2-2（４・５月分）'!O31)</f>
        <v/>
      </c>
      <c r="AX37" s="1507"/>
      <c r="AY37" s="673"/>
      <c r="AZ37" s="1321" t="str">
        <f>IF(OR(U37="新加算Ⅰ",U37="新加算Ⅱ",U37="新加算Ⅲ",U37="新加算Ⅳ",U37="新加算Ⅴ（１）",U37="新加算Ⅴ（２）",U37="新加算Ⅴ（３）",U37="新加算ⅠⅤ（４）",U37="新加算Ⅴ（５）",U37="新加算Ⅴ（６）",U37="新加算Ⅴ（８）",U37="新加算Ⅴ（11）"),IF(AJ37="○","","未入力"),"")</f>
        <v/>
      </c>
      <c r="BA37" s="1321" t="str">
        <f>IF(OR(V37="新加算Ⅰ",V37="新加算Ⅱ",V37="新加算Ⅲ",V37="新加算Ⅳ",V37="新加算Ⅴ（１）",V37="新加算Ⅴ（２）",V37="新加算Ⅴ（３）",V37="新加算ⅠⅤ（４）",V37="新加算Ⅴ（５）",V37="新加算Ⅴ（６）",V37="新加算Ⅴ（８）",V37="新加算Ⅴ（11）"),IF(AK37="○","","未入力"),"")</f>
        <v/>
      </c>
      <c r="BB37" s="1321" t="str">
        <f>IF(OR(V37="新加算Ⅴ（７）",V37="新加算Ⅴ（９）",V37="新加算Ⅴ（10）",V37="新加算Ⅴ（12）",V37="新加算Ⅴ（13）",V37="新加算Ⅴ（14）"),IF(AL37="○","","未入力"),"")</f>
        <v/>
      </c>
      <c r="BC37" s="1321" t="str">
        <f>IF(OR(V37="新加算Ⅰ",V37="新加算Ⅱ",V37="新加算Ⅲ",V37="新加算Ⅴ（１）",V37="新加算Ⅴ（３）",V37="新加算Ⅴ（８）"),IF(AM37="○","","未入力"),"")</f>
        <v/>
      </c>
      <c r="BD37" s="1588"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493" t="str">
        <f>IF(AND(U37&lt;&gt;"（参考）令和７年度の移行予定",OR(V37="新加算Ⅰ",V37="新加算Ⅴ（１）",V37="新加算Ⅴ（２）",V37="新加算Ⅴ（５）",V37="新加算Ⅴ（７）",V37="新加算Ⅴ（10）")),IF(AO37="","未入力",IF(AO37="いずれも取得していない","要件を満たさない","")),"")</f>
        <v/>
      </c>
      <c r="BF37" s="1493" t="str">
        <f>G34</f>
        <v/>
      </c>
      <c r="BG37" s="1493"/>
      <c r="BH37" s="1493"/>
    </row>
    <row r="38" spans="1:60" ht="30" customHeight="1">
      <c r="A38" s="1225">
        <v>7</v>
      </c>
      <c r="B38" s="1271" t="str">
        <f>IF(基本情報入力シート!C60="","",基本情報入力シート!C60)</f>
        <v/>
      </c>
      <c r="C38" s="1259"/>
      <c r="D38" s="1259"/>
      <c r="E38" s="1259"/>
      <c r="F38" s="1260"/>
      <c r="G38" s="1265" t="str">
        <f>IF(基本情報入力シート!M60="","",基本情報入力シート!M60)</f>
        <v/>
      </c>
      <c r="H38" s="1265" t="str">
        <f>IF(基本情報入力シート!R60="","",基本情報入力シート!R60)</f>
        <v/>
      </c>
      <c r="I38" s="1265" t="str">
        <f>IF(基本情報入力シート!W60="","",基本情報入力シート!W60)</f>
        <v/>
      </c>
      <c r="J38" s="1379" t="str">
        <f>IF(基本情報入力シート!X60="","",基本情報入力シート!X60)</f>
        <v/>
      </c>
      <c r="K38" s="1265" t="str">
        <f>IF(基本情報入力シート!Y60="","",基本情報入力シート!Y60)</f>
        <v/>
      </c>
      <c r="L38" s="1450" t="str">
        <f>IF(基本情報入力シート!AB60="","",基本情報入力シート!AB60)</f>
        <v/>
      </c>
      <c r="M38" s="1447" t="str">
        <f>IF(基本情報入力シート!AC60="","",基本情報入力シート!AC60)</f>
        <v/>
      </c>
      <c r="N38" s="647" t="str">
        <f>IF('別紙様式2-2（４・５月分）'!Q32="","",'別紙様式2-2（４・５月分）'!Q32)</f>
        <v/>
      </c>
      <c r="O38" s="1366" t="str">
        <f>IF(SUM('別紙様式2-2（４・５月分）'!R32:R34)=0,"",SUM('別紙様式2-2（４・５月分）'!R32:R34))</f>
        <v/>
      </c>
      <c r="P38" s="1380" t="str">
        <f>IFERROR(VLOOKUP('別紙様式2-2（４・５月分）'!AR32,【参考】数式用!$AT$5:$AU$22,2,FALSE),"")</f>
        <v/>
      </c>
      <c r="Q38" s="1381"/>
      <c r="R38" s="1382"/>
      <c r="S38" s="1392" t="str">
        <f>IFERROR(VLOOKUP(K38,【参考】数式用!$A$5:$AB$27,MATCH(P38,【参考】数式用!$B$4:$AB$4,0)+1,0),"")</f>
        <v/>
      </c>
      <c r="T38" s="1413" t="s">
        <v>2193</v>
      </c>
      <c r="U38" s="1562" t="str">
        <f>IF('別紙様式2-3（６月以降分）'!U38="","",'別紙様式2-3（６月以降分）'!U38)</f>
        <v/>
      </c>
      <c r="V38" s="1457" t="str">
        <f>IFERROR(VLOOKUP(K38,【参考】数式用!$A$5:$AB$27,MATCH(U38,【参考】数式用!$B$4:$AB$4,0)+1,0),"")</f>
        <v/>
      </c>
      <c r="W38" s="1350" t="s">
        <v>19</v>
      </c>
      <c r="X38" s="1534">
        <f>'別紙様式2-3（６月以降分）'!X38</f>
        <v>6</v>
      </c>
      <c r="Y38" s="1354" t="s">
        <v>10</v>
      </c>
      <c r="Z38" s="1534">
        <f>'別紙様式2-3（６月以降分）'!Z38</f>
        <v>6</v>
      </c>
      <c r="AA38" s="1354" t="s">
        <v>45</v>
      </c>
      <c r="AB38" s="1534">
        <f>'別紙様式2-3（６月以降分）'!AB38</f>
        <v>7</v>
      </c>
      <c r="AC38" s="1354" t="s">
        <v>10</v>
      </c>
      <c r="AD38" s="1534">
        <f>'別紙様式2-3（６月以降分）'!AD38</f>
        <v>3</v>
      </c>
      <c r="AE38" s="1354" t="s">
        <v>2172</v>
      </c>
      <c r="AF38" s="1354" t="s">
        <v>24</v>
      </c>
      <c r="AG38" s="1354">
        <f>IF(X38&gt;=1,(AB38*12+AD38)-(X38*12+Z38)+1,"")</f>
        <v>10</v>
      </c>
      <c r="AH38" s="1360" t="s">
        <v>38</v>
      </c>
      <c r="AI38" s="1481" t="str">
        <f>'別紙様式2-3（６月以降分）'!AI38</f>
        <v/>
      </c>
      <c r="AJ38" s="1542" t="str">
        <f>'別紙様式2-3（６月以降分）'!AJ38</f>
        <v/>
      </c>
      <c r="AK38" s="1538">
        <f>'別紙様式2-3（６月以降分）'!AK38</f>
        <v>0</v>
      </c>
      <c r="AL38" s="1540" t="str">
        <f>IF('別紙様式2-3（６月以降分）'!AL38="","",'別紙様式2-3（６月以降分）'!AL38)</f>
        <v/>
      </c>
      <c r="AM38" s="1571">
        <f>'別紙様式2-3（６月以降分）'!AM38</f>
        <v>0</v>
      </c>
      <c r="AN38" s="1573" t="str">
        <f>IF('別紙様式2-3（６月以降分）'!AN38="","",'別紙様式2-3（６月以降分）'!AN38)</f>
        <v/>
      </c>
      <c r="AO38" s="1403" t="str">
        <f>IF('別紙様式2-3（６月以降分）'!AO38="","",'別紙様式2-3（６月以降分）'!AO38)</f>
        <v/>
      </c>
      <c r="AP38" s="1502" t="str">
        <f>IF('別紙様式2-3（６月以降分）'!AP38="","",'別紙様式2-3（６月以降分）'!AP38)</f>
        <v/>
      </c>
      <c r="AQ38" s="1403" t="str">
        <f>IF('別紙様式2-3（６月以降分）'!AQ38="","",'別紙様式2-3（６月以降分）'!AQ38)</f>
        <v/>
      </c>
      <c r="AR38" s="1583" t="str">
        <f>IF('別紙様式2-3（６月以降分）'!AR38="","",'別紙様式2-3（６月以降分）'!AR38)</f>
        <v/>
      </c>
      <c r="AS38" s="1536" t="str">
        <f>IF('別紙様式2-3（６月以降分）'!AS38="","",'別紙様式2-3（６月以降分）'!AS38)</f>
        <v/>
      </c>
      <c r="AT38" s="667" t="str">
        <f t="shared" ref="AT38" si="22">IF(AV40="","",IF(V40&lt;V38,"！加算の要件上は問題ありませんが、令和６年度当初の新加算の加算率と比較して、移行後の加算率が下がる計画になっています。",""))</f>
        <v/>
      </c>
      <c r="AU38" s="674"/>
      <c r="AV38" s="1233"/>
      <c r="AW38" s="652" t="str">
        <f>IF('別紙様式2-2（４・５月分）'!O32="","",'別紙様式2-2（４・５月分）'!O32)</f>
        <v/>
      </c>
      <c r="AX38" s="1507" t="str">
        <f>IF(SUM('別紙様式2-2（４・５月分）'!P32:P34)=0,"",SUM('別紙様式2-2（４・５月分）'!P32:P34))</f>
        <v/>
      </c>
      <c r="AY38" s="1590" t="str">
        <f>IFERROR(VLOOKUP(K38,【参考】数式用!$AJ$2:$AK$24,2,FALSE),"")</f>
        <v/>
      </c>
      <c r="AZ38" s="584"/>
      <c r="BE38" s="428"/>
      <c r="BF38" s="1493" t="str">
        <f>G38</f>
        <v/>
      </c>
      <c r="BG38" s="1493"/>
      <c r="BH38" s="1493"/>
    </row>
    <row r="39" spans="1:60" ht="15" customHeight="1">
      <c r="A39" s="1226"/>
      <c r="B39" s="1272"/>
      <c r="C39" s="1261"/>
      <c r="D39" s="1261"/>
      <c r="E39" s="1261"/>
      <c r="F39" s="1262"/>
      <c r="G39" s="1266"/>
      <c r="H39" s="1266"/>
      <c r="I39" s="1266"/>
      <c r="J39" s="1372"/>
      <c r="K39" s="1266"/>
      <c r="L39" s="1451"/>
      <c r="M39" s="1448"/>
      <c r="N39" s="1370" t="str">
        <f>IF('別紙様式2-2（４・５月分）'!Q33="","",'別紙様式2-2（４・５月分）'!Q33)</f>
        <v/>
      </c>
      <c r="O39" s="1367"/>
      <c r="P39" s="1383"/>
      <c r="Q39" s="1384"/>
      <c r="R39" s="1385"/>
      <c r="S39" s="1393"/>
      <c r="T39" s="1414"/>
      <c r="U39" s="1563"/>
      <c r="V39" s="1458"/>
      <c r="W39" s="1351"/>
      <c r="X39" s="1535"/>
      <c r="Y39" s="1355"/>
      <c r="Z39" s="1535"/>
      <c r="AA39" s="1355"/>
      <c r="AB39" s="1535"/>
      <c r="AC39" s="1355"/>
      <c r="AD39" s="1535"/>
      <c r="AE39" s="1355"/>
      <c r="AF39" s="1355"/>
      <c r="AG39" s="1355"/>
      <c r="AH39" s="1361"/>
      <c r="AI39" s="1482"/>
      <c r="AJ39" s="1543"/>
      <c r="AK39" s="1539"/>
      <c r="AL39" s="1541"/>
      <c r="AM39" s="1572"/>
      <c r="AN39" s="1574"/>
      <c r="AO39" s="1404"/>
      <c r="AP39" s="1533"/>
      <c r="AQ39" s="1404"/>
      <c r="AR39" s="1584"/>
      <c r="AS39" s="1537"/>
      <c r="AT39" s="1532" t="str">
        <f t="shared" ref="AT39" si="23">IF(AV40="","",IF(OR(AB40="",AB40&lt;&gt;7,AD40="",AD40&lt;&gt;3),"！算定期間の終わりが令和７年３月になっていません。年度内の廃止予定等がなければ、算定対象月を令和７年３月にしてください。",""))</f>
        <v/>
      </c>
      <c r="AU39" s="674"/>
      <c r="AV39" s="1493"/>
      <c r="AW39" s="1518" t="str">
        <f>IF('別紙様式2-2（４・５月分）'!O33="","",'別紙様式2-2（４・５月分）'!O33)</f>
        <v/>
      </c>
      <c r="AX39" s="1507"/>
      <c r="AY39" s="1589"/>
      <c r="AZ39" s="521"/>
      <c r="BE39" s="428"/>
      <c r="BF39" s="1493" t="str">
        <f>G38</f>
        <v/>
      </c>
      <c r="BG39" s="1493"/>
      <c r="BH39" s="1493"/>
    </row>
    <row r="40" spans="1:60" ht="15" customHeight="1">
      <c r="A40" s="1240"/>
      <c r="B40" s="1272"/>
      <c r="C40" s="1261"/>
      <c r="D40" s="1261"/>
      <c r="E40" s="1261"/>
      <c r="F40" s="1262"/>
      <c r="G40" s="1266"/>
      <c r="H40" s="1266"/>
      <c r="I40" s="1266"/>
      <c r="J40" s="1372"/>
      <c r="K40" s="1266"/>
      <c r="L40" s="1451"/>
      <c r="M40" s="1448"/>
      <c r="N40" s="1371"/>
      <c r="O40" s="1368"/>
      <c r="P40" s="1390" t="s">
        <v>2179</v>
      </c>
      <c r="Q40" s="1504" t="str">
        <f>IFERROR(VLOOKUP('別紙様式2-2（４・５月分）'!AR32,【参考】数式用!$AT$5:$AV$22,3,FALSE),"")</f>
        <v/>
      </c>
      <c r="R40" s="1388" t="s">
        <v>2190</v>
      </c>
      <c r="S40" s="1396" t="str">
        <f>IFERROR(VLOOKUP(K38,【参考】数式用!$A$5:$AB$27,MATCH(Q40,【参考】数式用!$B$4:$AB$4,0)+1,0),"")</f>
        <v/>
      </c>
      <c r="T40" s="1459" t="s">
        <v>2267</v>
      </c>
      <c r="U40" s="1569"/>
      <c r="V40" s="1463" t="str">
        <f>IFERROR(VLOOKUP(K38,【参考】数式用!$A$5:$AB$27,MATCH(U40,【参考】数式用!$B$4:$AB$4,0)+1,0),"")</f>
        <v/>
      </c>
      <c r="W40" s="1465" t="s">
        <v>19</v>
      </c>
      <c r="X40" s="1564"/>
      <c r="Y40" s="1407" t="s">
        <v>10</v>
      </c>
      <c r="Z40" s="1564"/>
      <c r="AA40" s="1407" t="s">
        <v>45</v>
      </c>
      <c r="AB40" s="1564"/>
      <c r="AC40" s="1407" t="s">
        <v>10</v>
      </c>
      <c r="AD40" s="1564"/>
      <c r="AE40" s="1407" t="s">
        <v>2172</v>
      </c>
      <c r="AF40" s="1407" t="s">
        <v>24</v>
      </c>
      <c r="AG40" s="1407" t="str">
        <f>IF(X40&gt;=1,(AB40*12+AD40)-(X40*12+Z40)+1,"")</f>
        <v/>
      </c>
      <c r="AH40" s="1409" t="s">
        <v>38</v>
      </c>
      <c r="AI40" s="1411" t="str">
        <f t="shared" ref="AI40" si="24">IFERROR(ROUNDDOWN(ROUND(L38*V40,0)*M38,0)*AG40,"")</f>
        <v/>
      </c>
      <c r="AJ40" s="1577" t="str">
        <f>IFERROR(ROUNDDOWN(ROUND((L38*(V40-AX38)),0)*M38,0)*AG40,"")</f>
        <v/>
      </c>
      <c r="AK40" s="1494" t="str">
        <f>IFERROR(ROUNDDOWN(ROUNDDOWN(ROUND(L38*VLOOKUP(K38,【参考】数式用!$A$5:$AB$27,MATCH("新加算Ⅳ",【参考】数式用!$B$4:$AB$4,0)+1,0),0)*M38,0)*AG40*0.5,0),"")</f>
        <v/>
      </c>
      <c r="AL40" s="1579"/>
      <c r="AM40" s="1585" t="str">
        <f>IFERROR(IF('別紙様式2-2（４・５月分）'!Q34="ベア加算","", IF(OR(U40="新加算Ⅰ",U40="新加算Ⅱ",U40="新加算Ⅲ",U40="新加算Ⅳ"),ROUNDDOWN(ROUND(L38*VLOOKUP(K38,【参考】数式用!$A$5:$I$27,MATCH("ベア加算",【参考】数式用!$B$4:$I$4,0)+1,0),0)*M38,0)*AG40,"")),"")</f>
        <v/>
      </c>
      <c r="AN40" s="1548"/>
      <c r="AO40" s="1554"/>
      <c r="AP40" s="1552"/>
      <c r="AQ40" s="1554"/>
      <c r="AR40" s="1556"/>
      <c r="AS40" s="1558"/>
      <c r="AT40" s="1532"/>
      <c r="AU40" s="542"/>
      <c r="AV40" s="1493" t="str">
        <f t="shared" ref="AV40" si="25">IF(OR(AB38&lt;&gt;7,AD38&lt;&gt;3),"V列に色付け","")</f>
        <v/>
      </c>
      <c r="AW40" s="1518"/>
      <c r="AX40" s="1507"/>
      <c r="AY40" s="671"/>
      <c r="AZ40" s="1321" t="str">
        <f>IF(AM40&lt;&gt;"",IF(AN40="○","入力済","未入力"),"")</f>
        <v/>
      </c>
      <c r="BA40" s="1321"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321" t="str">
        <f>IF(OR(U40="新加算Ⅴ（７）",U40="新加算Ⅴ（９）",U40="新加算Ⅴ（10）",U40="新加算Ⅴ（12）",U40="新加算Ⅴ（13）",U40="新加算Ⅴ（14）"),IF(OR(AP40="○",AP40="令和６年度中に満たす"),"入力済","未入力"),"")</f>
        <v/>
      </c>
      <c r="BC40" s="1321" t="str">
        <f>IF(OR(U40="新加算Ⅰ",U40="新加算Ⅱ",U40="新加算Ⅲ",U40="新加算Ⅴ（１）",U40="新加算Ⅴ（３）",U40="新加算Ⅴ（８）"),IF(OR(AQ40="○",AQ40="令和６年度中に満たす"),"入力済","未入力"),"")</f>
        <v/>
      </c>
      <c r="BD40" s="1588"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493" t="str">
        <f>IF(OR(U40="新加算Ⅰ",U40="新加算Ⅴ（１）",U40="新加算Ⅴ（２）",U40="新加算Ⅴ（５）",U40="新加算Ⅴ（７）",U40="新加算Ⅴ（10）"),IF(AS40="","未入力","入力済"),"")</f>
        <v/>
      </c>
      <c r="BF40" s="1493" t="str">
        <f>G38</f>
        <v/>
      </c>
      <c r="BG40" s="1493"/>
      <c r="BH40" s="1493"/>
    </row>
    <row r="41" spans="1:60" ht="30" customHeight="1" thickBot="1">
      <c r="A41" s="1227"/>
      <c r="B41" s="1376"/>
      <c r="C41" s="1377"/>
      <c r="D41" s="1377"/>
      <c r="E41" s="1377"/>
      <c r="F41" s="1378"/>
      <c r="G41" s="1267"/>
      <c r="H41" s="1267"/>
      <c r="I41" s="1267"/>
      <c r="J41" s="1373"/>
      <c r="K41" s="1267"/>
      <c r="L41" s="1452"/>
      <c r="M41" s="1449"/>
      <c r="N41" s="650" t="str">
        <f>IF('別紙様式2-2（４・５月分）'!Q34="","",'別紙様式2-2（４・５月分）'!Q34)</f>
        <v/>
      </c>
      <c r="O41" s="1369"/>
      <c r="P41" s="1391"/>
      <c r="Q41" s="1505"/>
      <c r="R41" s="1389"/>
      <c r="S41" s="1395"/>
      <c r="T41" s="1460"/>
      <c r="U41" s="1570"/>
      <c r="V41" s="1464"/>
      <c r="W41" s="1466"/>
      <c r="X41" s="1565"/>
      <c r="Y41" s="1408"/>
      <c r="Z41" s="1565"/>
      <c r="AA41" s="1408"/>
      <c r="AB41" s="1565"/>
      <c r="AC41" s="1408"/>
      <c r="AD41" s="1565"/>
      <c r="AE41" s="1408"/>
      <c r="AF41" s="1408"/>
      <c r="AG41" s="1408"/>
      <c r="AH41" s="1410"/>
      <c r="AI41" s="1412"/>
      <c r="AJ41" s="1578"/>
      <c r="AK41" s="1495"/>
      <c r="AL41" s="1580"/>
      <c r="AM41" s="1586"/>
      <c r="AN41" s="1549"/>
      <c r="AO41" s="1555"/>
      <c r="AP41" s="1553"/>
      <c r="AQ41" s="1555"/>
      <c r="AR41" s="1557"/>
      <c r="AS41" s="1559"/>
      <c r="AT41" s="672" t="str">
        <f t="shared" ref="AT41" si="26">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42"/>
      <c r="AV41" s="1493"/>
      <c r="AW41" s="652" t="str">
        <f>IF('別紙様式2-2（４・５月分）'!O34="","",'別紙様式2-2（４・５月分）'!O34)</f>
        <v/>
      </c>
      <c r="AX41" s="1507"/>
      <c r="AY41" s="673"/>
      <c r="AZ41" s="1321" t="str">
        <f>IF(OR(U41="新加算Ⅰ",U41="新加算Ⅱ",U41="新加算Ⅲ",U41="新加算Ⅳ",U41="新加算Ⅴ（１）",U41="新加算Ⅴ（２）",U41="新加算Ⅴ（３）",U41="新加算ⅠⅤ（４）",U41="新加算Ⅴ（５）",U41="新加算Ⅴ（６）",U41="新加算Ⅴ（８）",U41="新加算Ⅴ（11）"),IF(AJ41="○","","未入力"),"")</f>
        <v/>
      </c>
      <c r="BA41" s="1321" t="str">
        <f>IF(OR(V41="新加算Ⅰ",V41="新加算Ⅱ",V41="新加算Ⅲ",V41="新加算Ⅳ",V41="新加算Ⅴ（１）",V41="新加算Ⅴ（２）",V41="新加算Ⅴ（３）",V41="新加算ⅠⅤ（４）",V41="新加算Ⅴ（５）",V41="新加算Ⅴ（６）",V41="新加算Ⅴ（８）",V41="新加算Ⅴ（11）"),IF(AK41="○","","未入力"),"")</f>
        <v/>
      </c>
      <c r="BB41" s="1321" t="str">
        <f>IF(OR(V41="新加算Ⅴ（７）",V41="新加算Ⅴ（９）",V41="新加算Ⅴ（10）",V41="新加算Ⅴ（12）",V41="新加算Ⅴ（13）",V41="新加算Ⅴ（14）"),IF(AL41="○","","未入力"),"")</f>
        <v/>
      </c>
      <c r="BC41" s="1321" t="str">
        <f>IF(OR(V41="新加算Ⅰ",V41="新加算Ⅱ",V41="新加算Ⅲ",V41="新加算Ⅴ（１）",V41="新加算Ⅴ（３）",V41="新加算Ⅴ（８）"),IF(AM41="○","","未入力"),"")</f>
        <v/>
      </c>
      <c r="BD41" s="1588"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493" t="str">
        <f>IF(AND(U41&lt;&gt;"（参考）令和７年度の移行予定",OR(V41="新加算Ⅰ",V41="新加算Ⅴ（１）",V41="新加算Ⅴ（２）",V41="新加算Ⅴ（５）",V41="新加算Ⅴ（７）",V41="新加算Ⅴ（10）")),IF(AO41="","未入力",IF(AO41="いずれも取得していない","要件を満たさない","")),"")</f>
        <v/>
      </c>
      <c r="BF41" s="1493" t="str">
        <f>G38</f>
        <v/>
      </c>
      <c r="BG41" s="1493"/>
      <c r="BH41" s="1493"/>
    </row>
    <row r="42" spans="1:60" ht="30" customHeight="1">
      <c r="A42" s="1241">
        <v>8</v>
      </c>
      <c r="B42" s="1272" t="str">
        <f>IF(基本情報入力シート!C61="","",基本情報入力シート!C61)</f>
        <v/>
      </c>
      <c r="C42" s="1261"/>
      <c r="D42" s="1261"/>
      <c r="E42" s="1261"/>
      <c r="F42" s="1262"/>
      <c r="G42" s="1266" t="str">
        <f>IF(基本情報入力シート!M61="","",基本情報入力シート!M61)</f>
        <v/>
      </c>
      <c r="H42" s="1266" t="str">
        <f>IF(基本情報入力シート!R61="","",基本情報入力シート!R61)</f>
        <v/>
      </c>
      <c r="I42" s="1266" t="str">
        <f>IF(基本情報入力シート!W61="","",基本情報入力シート!W61)</f>
        <v/>
      </c>
      <c r="J42" s="1372" t="str">
        <f>IF(基本情報入力シート!X61="","",基本情報入力シート!X61)</f>
        <v/>
      </c>
      <c r="K42" s="1266" t="str">
        <f>IF(基本情報入力シート!Y61="","",基本情報入力シート!Y61)</f>
        <v/>
      </c>
      <c r="L42" s="1451" t="str">
        <f>IF(基本情報入力シート!AB61="","",基本情報入力シート!AB61)</f>
        <v/>
      </c>
      <c r="M42" s="1453" t="str">
        <f>IF(基本情報入力シート!AC61="","",基本情報入力シート!AC61)</f>
        <v/>
      </c>
      <c r="N42" s="647" t="str">
        <f>IF('別紙様式2-2（４・５月分）'!Q35="","",'別紙様式2-2（４・５月分）'!Q35)</f>
        <v/>
      </c>
      <c r="O42" s="1366" t="str">
        <f>IF(SUM('別紙様式2-2（４・５月分）'!R35:R37)=0,"",SUM('別紙様式2-2（４・５月分）'!R35:R37))</f>
        <v/>
      </c>
      <c r="P42" s="1380" t="str">
        <f>IFERROR(VLOOKUP('別紙様式2-2（４・５月分）'!AR35,【参考】数式用!$AT$5:$AU$22,2,FALSE),"")</f>
        <v/>
      </c>
      <c r="Q42" s="1381"/>
      <c r="R42" s="1382"/>
      <c r="S42" s="1392" t="str">
        <f>IFERROR(VLOOKUP(K42,【参考】数式用!$A$5:$AB$27,MATCH(P42,【参考】数式用!$B$4:$AB$4,0)+1,0),"")</f>
        <v/>
      </c>
      <c r="T42" s="1413" t="s">
        <v>2258</v>
      </c>
      <c r="U42" s="1562" t="str">
        <f>IF('別紙様式2-3（６月以降分）'!U42="","",'別紙様式2-3（６月以降分）'!U42)</f>
        <v/>
      </c>
      <c r="V42" s="1457" t="str">
        <f>IFERROR(VLOOKUP(K42,【参考】数式用!$A$5:$AB$27,MATCH(U42,【参考】数式用!$B$4:$AB$4,0)+1,0),"")</f>
        <v/>
      </c>
      <c r="W42" s="1350" t="s">
        <v>19</v>
      </c>
      <c r="X42" s="1534">
        <f>'別紙様式2-3（６月以降分）'!X42</f>
        <v>6</v>
      </c>
      <c r="Y42" s="1354" t="s">
        <v>10</v>
      </c>
      <c r="Z42" s="1534">
        <f>'別紙様式2-3（６月以降分）'!Z42</f>
        <v>6</v>
      </c>
      <c r="AA42" s="1354" t="s">
        <v>45</v>
      </c>
      <c r="AB42" s="1534">
        <f>'別紙様式2-3（６月以降分）'!AB42</f>
        <v>7</v>
      </c>
      <c r="AC42" s="1354" t="s">
        <v>10</v>
      </c>
      <c r="AD42" s="1534">
        <f>'別紙様式2-3（６月以降分）'!AD42</f>
        <v>3</v>
      </c>
      <c r="AE42" s="1354" t="s">
        <v>2172</v>
      </c>
      <c r="AF42" s="1354" t="s">
        <v>24</v>
      </c>
      <c r="AG42" s="1354">
        <f>IF(X42&gt;=1,(AB42*12+AD42)-(X42*12+Z42)+1,"")</f>
        <v>10</v>
      </c>
      <c r="AH42" s="1360" t="s">
        <v>38</v>
      </c>
      <c r="AI42" s="1481" t="str">
        <f>'別紙様式2-3（６月以降分）'!AI42</f>
        <v/>
      </c>
      <c r="AJ42" s="1542" t="str">
        <f>'別紙様式2-3（６月以降分）'!AJ42</f>
        <v/>
      </c>
      <c r="AK42" s="1538">
        <f>'別紙様式2-3（６月以降分）'!AK42</f>
        <v>0</v>
      </c>
      <c r="AL42" s="1540" t="str">
        <f>IF('別紙様式2-3（６月以降分）'!AL42="","",'別紙様式2-3（６月以降分）'!AL42)</f>
        <v/>
      </c>
      <c r="AM42" s="1571">
        <f>'別紙様式2-3（６月以降分）'!AM42</f>
        <v>0</v>
      </c>
      <c r="AN42" s="1573" t="str">
        <f>IF('別紙様式2-3（６月以降分）'!AN42="","",'別紙様式2-3（６月以降分）'!AN42)</f>
        <v/>
      </c>
      <c r="AO42" s="1403" t="str">
        <f>IF('別紙様式2-3（６月以降分）'!AO42="","",'別紙様式2-3（６月以降分）'!AO42)</f>
        <v/>
      </c>
      <c r="AP42" s="1502" t="str">
        <f>IF('別紙様式2-3（６月以降分）'!AP42="","",'別紙様式2-3（６月以降分）'!AP42)</f>
        <v/>
      </c>
      <c r="AQ42" s="1403" t="str">
        <f>IF('別紙様式2-3（６月以降分）'!AQ42="","",'別紙様式2-3（６月以降分）'!AQ42)</f>
        <v/>
      </c>
      <c r="AR42" s="1583" t="str">
        <f>IF('別紙様式2-3（６月以降分）'!AR42="","",'別紙様式2-3（６月以降分）'!AR42)</f>
        <v/>
      </c>
      <c r="AS42" s="1536" t="str">
        <f>IF('別紙様式2-3（６月以降分）'!AS42="","",'別紙様式2-3（６月以降分）'!AS42)</f>
        <v/>
      </c>
      <c r="AT42" s="667" t="str">
        <f t="shared" ref="AT42" si="27">IF(AV44="","",IF(V44&lt;V42,"！加算の要件上は問題ありませんが、令和６年度当初の新加算の加算率と比較して、移行後の加算率が下がる計画になっています。",""))</f>
        <v/>
      </c>
      <c r="AU42" s="674"/>
      <c r="AV42" s="1233"/>
      <c r="AW42" s="652" t="str">
        <f>IF('別紙様式2-2（４・５月分）'!O35="","",'別紙様式2-2（４・５月分）'!O35)</f>
        <v/>
      </c>
      <c r="AX42" s="1507" t="str">
        <f>IF(SUM('別紙様式2-2（４・５月分）'!P35:P37)=0,"",SUM('別紙様式2-2（４・５月分）'!P35:P37))</f>
        <v/>
      </c>
      <c r="AY42" s="1589" t="str">
        <f>IFERROR(VLOOKUP(K42,【参考】数式用!$AJ$2:$AK$24,2,FALSE),"")</f>
        <v/>
      </c>
      <c r="AZ42" s="584"/>
      <c r="BE42" s="428"/>
      <c r="BF42" s="1493" t="str">
        <f>G42</f>
        <v/>
      </c>
      <c r="BG42" s="1493"/>
      <c r="BH42" s="1493"/>
    </row>
    <row r="43" spans="1:60" ht="15" customHeight="1">
      <c r="A43" s="1226"/>
      <c r="B43" s="1272"/>
      <c r="C43" s="1261"/>
      <c r="D43" s="1261"/>
      <c r="E43" s="1261"/>
      <c r="F43" s="1262"/>
      <c r="G43" s="1266"/>
      <c r="H43" s="1266"/>
      <c r="I43" s="1266"/>
      <c r="J43" s="1372"/>
      <c r="K43" s="1266"/>
      <c r="L43" s="1451"/>
      <c r="M43" s="1453"/>
      <c r="N43" s="1370" t="str">
        <f>IF('別紙様式2-2（４・５月分）'!Q36="","",'別紙様式2-2（４・５月分）'!Q36)</f>
        <v/>
      </c>
      <c r="O43" s="1367"/>
      <c r="P43" s="1383"/>
      <c r="Q43" s="1384"/>
      <c r="R43" s="1385"/>
      <c r="S43" s="1393"/>
      <c r="T43" s="1414"/>
      <c r="U43" s="1563"/>
      <c r="V43" s="1458"/>
      <c r="W43" s="1351"/>
      <c r="X43" s="1535"/>
      <c r="Y43" s="1355"/>
      <c r="Z43" s="1535"/>
      <c r="AA43" s="1355"/>
      <c r="AB43" s="1535"/>
      <c r="AC43" s="1355"/>
      <c r="AD43" s="1535"/>
      <c r="AE43" s="1355"/>
      <c r="AF43" s="1355"/>
      <c r="AG43" s="1355"/>
      <c r="AH43" s="1361"/>
      <c r="AI43" s="1482"/>
      <c r="AJ43" s="1543"/>
      <c r="AK43" s="1539"/>
      <c r="AL43" s="1541"/>
      <c r="AM43" s="1572"/>
      <c r="AN43" s="1574"/>
      <c r="AO43" s="1404"/>
      <c r="AP43" s="1533"/>
      <c r="AQ43" s="1404"/>
      <c r="AR43" s="1584"/>
      <c r="AS43" s="1537"/>
      <c r="AT43" s="1532" t="str">
        <f t="shared" ref="AT43" si="28">IF(AV44="","",IF(OR(AB44="",AB44&lt;&gt;7,AD44="",AD44&lt;&gt;3),"！算定期間の終わりが令和７年３月になっていません。年度内の廃止予定等がなければ、算定対象月を令和７年３月にしてください。",""))</f>
        <v/>
      </c>
      <c r="AU43" s="674"/>
      <c r="AV43" s="1493"/>
      <c r="AW43" s="1518" t="str">
        <f>IF('別紙様式2-2（４・５月分）'!O36="","",'別紙様式2-2（４・５月分）'!O36)</f>
        <v/>
      </c>
      <c r="AX43" s="1507"/>
      <c r="AY43" s="1589"/>
      <c r="AZ43" s="521"/>
      <c r="BE43" s="428"/>
      <c r="BF43" s="1493" t="str">
        <f>G42</f>
        <v/>
      </c>
      <c r="BG43" s="1493"/>
      <c r="BH43" s="1493"/>
    </row>
    <row r="44" spans="1:60" ht="15" customHeight="1">
      <c r="A44" s="1240"/>
      <c r="B44" s="1272"/>
      <c r="C44" s="1261"/>
      <c r="D44" s="1261"/>
      <c r="E44" s="1261"/>
      <c r="F44" s="1262"/>
      <c r="G44" s="1266"/>
      <c r="H44" s="1266"/>
      <c r="I44" s="1266"/>
      <c r="J44" s="1372"/>
      <c r="K44" s="1266"/>
      <c r="L44" s="1451"/>
      <c r="M44" s="1453"/>
      <c r="N44" s="1371"/>
      <c r="O44" s="1368"/>
      <c r="P44" s="1390" t="s">
        <v>2179</v>
      </c>
      <c r="Q44" s="1504" t="str">
        <f>IFERROR(VLOOKUP('別紙様式2-2（４・５月分）'!AR35,【参考】数式用!$AT$5:$AV$22,3,FALSE),"")</f>
        <v/>
      </c>
      <c r="R44" s="1388" t="s">
        <v>2190</v>
      </c>
      <c r="S44" s="1394" t="str">
        <f>IFERROR(VLOOKUP(K42,【参考】数式用!$A$5:$AB$27,MATCH(Q44,【参考】数式用!$B$4:$AB$4,0)+1,0),"")</f>
        <v/>
      </c>
      <c r="T44" s="1459" t="s">
        <v>2267</v>
      </c>
      <c r="U44" s="1569"/>
      <c r="V44" s="1463" t="str">
        <f>IFERROR(VLOOKUP(K42,【参考】数式用!$A$5:$AB$27,MATCH(U44,【参考】数式用!$B$4:$AB$4,0)+1,0),"")</f>
        <v/>
      </c>
      <c r="W44" s="1465" t="s">
        <v>19</v>
      </c>
      <c r="X44" s="1564"/>
      <c r="Y44" s="1407" t="s">
        <v>10</v>
      </c>
      <c r="Z44" s="1564"/>
      <c r="AA44" s="1407" t="s">
        <v>45</v>
      </c>
      <c r="AB44" s="1564"/>
      <c r="AC44" s="1407" t="s">
        <v>10</v>
      </c>
      <c r="AD44" s="1564"/>
      <c r="AE44" s="1407" t="s">
        <v>2172</v>
      </c>
      <c r="AF44" s="1407" t="s">
        <v>24</v>
      </c>
      <c r="AG44" s="1407" t="str">
        <f>IF(X44&gt;=1,(AB44*12+AD44)-(X44*12+Z44)+1,"")</f>
        <v/>
      </c>
      <c r="AH44" s="1409" t="s">
        <v>38</v>
      </c>
      <c r="AI44" s="1411" t="str">
        <f t="shared" ref="AI44" si="29">IFERROR(ROUNDDOWN(ROUND(L42*V44,0)*M42,0)*AG44,"")</f>
        <v/>
      </c>
      <c r="AJ44" s="1577" t="str">
        <f>IFERROR(ROUNDDOWN(ROUND((L42*(V44-AX42)),0)*M42,0)*AG44,"")</f>
        <v/>
      </c>
      <c r="AK44" s="1494" t="str">
        <f>IFERROR(ROUNDDOWN(ROUNDDOWN(ROUND(L42*VLOOKUP(K42,【参考】数式用!$A$5:$AB$27,MATCH("新加算Ⅳ",【参考】数式用!$B$4:$AB$4,0)+1,0),0)*M42,0)*AG44*0.5,0),"")</f>
        <v/>
      </c>
      <c r="AL44" s="1579"/>
      <c r="AM44" s="1585" t="str">
        <f>IFERROR(IF('別紙様式2-2（４・５月分）'!Q37="ベア加算","", IF(OR(U44="新加算Ⅰ",U44="新加算Ⅱ",U44="新加算Ⅲ",U44="新加算Ⅳ"),ROUNDDOWN(ROUND(L42*VLOOKUP(K42,【参考】数式用!$A$5:$I$27,MATCH("ベア加算",【参考】数式用!$B$4:$I$4,0)+1,0),0)*M42,0)*AG44,"")),"")</f>
        <v/>
      </c>
      <c r="AN44" s="1548"/>
      <c r="AO44" s="1554"/>
      <c r="AP44" s="1552"/>
      <c r="AQ44" s="1554"/>
      <c r="AR44" s="1556"/>
      <c r="AS44" s="1558"/>
      <c r="AT44" s="1532"/>
      <c r="AU44" s="542"/>
      <c r="AV44" s="1493" t="str">
        <f t="shared" ref="AV44" si="30">IF(OR(AB42&lt;&gt;7,AD42&lt;&gt;3),"V列に色付け","")</f>
        <v/>
      </c>
      <c r="AW44" s="1518"/>
      <c r="AX44" s="1507"/>
      <c r="AY44" s="671"/>
      <c r="AZ44" s="1321" t="str">
        <f>IF(AM44&lt;&gt;"",IF(AN44="○","入力済","未入力"),"")</f>
        <v/>
      </c>
      <c r="BA44" s="1321"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321" t="str">
        <f>IF(OR(U44="新加算Ⅴ（７）",U44="新加算Ⅴ（９）",U44="新加算Ⅴ（10）",U44="新加算Ⅴ（12）",U44="新加算Ⅴ（13）",U44="新加算Ⅴ（14）"),IF(OR(AP44="○",AP44="令和６年度中に満たす"),"入力済","未入力"),"")</f>
        <v/>
      </c>
      <c r="BC44" s="1321" t="str">
        <f>IF(OR(U44="新加算Ⅰ",U44="新加算Ⅱ",U44="新加算Ⅲ",U44="新加算Ⅴ（１）",U44="新加算Ⅴ（３）",U44="新加算Ⅴ（８）"),IF(OR(AQ44="○",AQ44="令和６年度中に満たす"),"入力済","未入力"),"")</f>
        <v/>
      </c>
      <c r="BD44" s="1588"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493" t="str">
        <f>IF(OR(U44="新加算Ⅰ",U44="新加算Ⅴ（１）",U44="新加算Ⅴ（２）",U44="新加算Ⅴ（５）",U44="新加算Ⅴ（７）",U44="新加算Ⅴ（10）"),IF(AS44="","未入力","入力済"),"")</f>
        <v/>
      </c>
      <c r="BF44" s="1493" t="str">
        <f>G42</f>
        <v/>
      </c>
      <c r="BG44" s="1493"/>
      <c r="BH44" s="1493"/>
    </row>
    <row r="45" spans="1:60" ht="30" customHeight="1" thickBot="1">
      <c r="A45" s="1227"/>
      <c r="B45" s="1376"/>
      <c r="C45" s="1377"/>
      <c r="D45" s="1377"/>
      <c r="E45" s="1377"/>
      <c r="F45" s="1378"/>
      <c r="G45" s="1267"/>
      <c r="H45" s="1267"/>
      <c r="I45" s="1267"/>
      <c r="J45" s="1373"/>
      <c r="K45" s="1267"/>
      <c r="L45" s="1452"/>
      <c r="M45" s="1454"/>
      <c r="N45" s="650" t="str">
        <f>IF('別紙様式2-2（４・５月分）'!Q37="","",'別紙様式2-2（４・５月分）'!Q37)</f>
        <v/>
      </c>
      <c r="O45" s="1369"/>
      <c r="P45" s="1391"/>
      <c r="Q45" s="1505"/>
      <c r="R45" s="1389"/>
      <c r="S45" s="1395"/>
      <c r="T45" s="1460"/>
      <c r="U45" s="1570"/>
      <c r="V45" s="1464"/>
      <c r="W45" s="1466"/>
      <c r="X45" s="1565"/>
      <c r="Y45" s="1408"/>
      <c r="Z45" s="1565"/>
      <c r="AA45" s="1408"/>
      <c r="AB45" s="1565"/>
      <c r="AC45" s="1408"/>
      <c r="AD45" s="1565"/>
      <c r="AE45" s="1408"/>
      <c r="AF45" s="1408"/>
      <c r="AG45" s="1408"/>
      <c r="AH45" s="1410"/>
      <c r="AI45" s="1412"/>
      <c r="AJ45" s="1578"/>
      <c r="AK45" s="1495"/>
      <c r="AL45" s="1580"/>
      <c r="AM45" s="1586"/>
      <c r="AN45" s="1549"/>
      <c r="AO45" s="1555"/>
      <c r="AP45" s="1553"/>
      <c r="AQ45" s="1555"/>
      <c r="AR45" s="1557"/>
      <c r="AS45" s="1559"/>
      <c r="AT45" s="672" t="str">
        <f t="shared" ref="AT45" si="31">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42"/>
      <c r="AV45" s="1493"/>
      <c r="AW45" s="652" t="str">
        <f>IF('別紙様式2-2（４・５月分）'!O37="","",'別紙様式2-2（４・５月分）'!O37)</f>
        <v/>
      </c>
      <c r="AX45" s="1507"/>
      <c r="AY45" s="673"/>
      <c r="AZ45" s="1321" t="str">
        <f>IF(OR(U45="新加算Ⅰ",U45="新加算Ⅱ",U45="新加算Ⅲ",U45="新加算Ⅳ",U45="新加算Ⅴ（１）",U45="新加算Ⅴ（２）",U45="新加算Ⅴ（３）",U45="新加算ⅠⅤ（４）",U45="新加算Ⅴ（５）",U45="新加算Ⅴ（６）",U45="新加算Ⅴ（８）",U45="新加算Ⅴ（11）"),IF(AJ45="○","","未入力"),"")</f>
        <v/>
      </c>
      <c r="BA45" s="1321" t="str">
        <f>IF(OR(V45="新加算Ⅰ",V45="新加算Ⅱ",V45="新加算Ⅲ",V45="新加算Ⅳ",V45="新加算Ⅴ（１）",V45="新加算Ⅴ（２）",V45="新加算Ⅴ（３）",V45="新加算ⅠⅤ（４）",V45="新加算Ⅴ（５）",V45="新加算Ⅴ（６）",V45="新加算Ⅴ（８）",V45="新加算Ⅴ（11）"),IF(AK45="○","","未入力"),"")</f>
        <v/>
      </c>
      <c r="BB45" s="1321" t="str">
        <f>IF(OR(V45="新加算Ⅴ（７）",V45="新加算Ⅴ（９）",V45="新加算Ⅴ（10）",V45="新加算Ⅴ（12）",V45="新加算Ⅴ（13）",V45="新加算Ⅴ（14）"),IF(AL45="○","","未入力"),"")</f>
        <v/>
      </c>
      <c r="BC45" s="1321" t="str">
        <f>IF(OR(V45="新加算Ⅰ",V45="新加算Ⅱ",V45="新加算Ⅲ",V45="新加算Ⅴ（１）",V45="新加算Ⅴ（３）",V45="新加算Ⅴ（８）"),IF(AM45="○","","未入力"),"")</f>
        <v/>
      </c>
      <c r="BD45" s="1588"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493" t="str">
        <f>IF(AND(U45&lt;&gt;"（参考）令和７年度の移行予定",OR(V45="新加算Ⅰ",V45="新加算Ⅴ（１）",V45="新加算Ⅴ（２）",V45="新加算Ⅴ（５）",V45="新加算Ⅴ（７）",V45="新加算Ⅴ（10）")),IF(AO45="","未入力",IF(AO45="いずれも取得していない","要件を満たさない","")),"")</f>
        <v/>
      </c>
      <c r="BF45" s="1493" t="str">
        <f>G42</f>
        <v/>
      </c>
      <c r="BG45" s="1493"/>
      <c r="BH45" s="1493"/>
    </row>
    <row r="46" spans="1:60" ht="30" customHeight="1">
      <c r="A46" s="1225">
        <v>9</v>
      </c>
      <c r="B46" s="1271" t="str">
        <f>IF(基本情報入力シート!C62="","",基本情報入力シート!C62)</f>
        <v/>
      </c>
      <c r="C46" s="1259"/>
      <c r="D46" s="1259"/>
      <c r="E46" s="1259"/>
      <c r="F46" s="1260"/>
      <c r="G46" s="1265" t="str">
        <f>IF(基本情報入力シート!M62="","",基本情報入力シート!M62)</f>
        <v/>
      </c>
      <c r="H46" s="1265" t="str">
        <f>IF(基本情報入力シート!R62="","",基本情報入力シート!R62)</f>
        <v/>
      </c>
      <c r="I46" s="1265" t="str">
        <f>IF(基本情報入力シート!W62="","",基本情報入力シート!W62)</f>
        <v/>
      </c>
      <c r="J46" s="1379" t="str">
        <f>IF(基本情報入力シート!X62="","",基本情報入力シート!X62)</f>
        <v/>
      </c>
      <c r="K46" s="1265" t="str">
        <f>IF(基本情報入力シート!Y62="","",基本情報入力シート!Y62)</f>
        <v/>
      </c>
      <c r="L46" s="1450" t="str">
        <f>IF(基本情報入力シート!AB62="","",基本情報入力シート!AB62)</f>
        <v/>
      </c>
      <c r="M46" s="1447" t="str">
        <f>IF(基本情報入力シート!AC62="","",基本情報入力シート!AC62)</f>
        <v/>
      </c>
      <c r="N46" s="647" t="str">
        <f>IF('別紙様式2-2（４・５月分）'!Q38="","",'別紙様式2-2（４・５月分）'!Q38)</f>
        <v/>
      </c>
      <c r="O46" s="1366" t="str">
        <f>IF(SUM('別紙様式2-2（４・５月分）'!R38:R40)=0,"",SUM('別紙様式2-2（４・５月分）'!R38:R40))</f>
        <v/>
      </c>
      <c r="P46" s="1380" t="str">
        <f>IFERROR(VLOOKUP('別紙様式2-2（４・５月分）'!AR38,【参考】数式用!$AT$5:$AU$22,2,FALSE),"")</f>
        <v/>
      </c>
      <c r="Q46" s="1381"/>
      <c r="R46" s="1382"/>
      <c r="S46" s="1392" t="str">
        <f>IFERROR(VLOOKUP(K46,【参考】数式用!$A$5:$AB$27,MATCH(P46,【参考】数式用!$B$4:$AB$4,0)+1,0),"")</f>
        <v/>
      </c>
      <c r="T46" s="1413" t="s">
        <v>2258</v>
      </c>
      <c r="U46" s="1562" t="str">
        <f>IF('別紙様式2-3（６月以降分）'!U46="","",'別紙様式2-3（６月以降分）'!U46)</f>
        <v/>
      </c>
      <c r="V46" s="1457" t="str">
        <f>IFERROR(VLOOKUP(K46,【参考】数式用!$A$5:$AB$27,MATCH(U46,【参考】数式用!$B$4:$AB$4,0)+1,0),"")</f>
        <v/>
      </c>
      <c r="W46" s="1350" t="s">
        <v>19</v>
      </c>
      <c r="X46" s="1534">
        <f>'別紙様式2-3（６月以降分）'!X46</f>
        <v>6</v>
      </c>
      <c r="Y46" s="1354" t="s">
        <v>10</v>
      </c>
      <c r="Z46" s="1534">
        <f>'別紙様式2-3（６月以降分）'!Z46</f>
        <v>6</v>
      </c>
      <c r="AA46" s="1354" t="s">
        <v>45</v>
      </c>
      <c r="AB46" s="1534">
        <f>'別紙様式2-3（６月以降分）'!AB46</f>
        <v>7</v>
      </c>
      <c r="AC46" s="1354" t="s">
        <v>10</v>
      </c>
      <c r="AD46" s="1534">
        <f>'別紙様式2-3（６月以降分）'!AD46</f>
        <v>3</v>
      </c>
      <c r="AE46" s="1354" t="s">
        <v>2172</v>
      </c>
      <c r="AF46" s="1354" t="s">
        <v>24</v>
      </c>
      <c r="AG46" s="1354">
        <f>IF(X46&gt;=1,(AB46*12+AD46)-(X46*12+Z46)+1,"")</f>
        <v>10</v>
      </c>
      <c r="AH46" s="1360" t="s">
        <v>38</v>
      </c>
      <c r="AI46" s="1481" t="str">
        <f>'別紙様式2-3（６月以降分）'!AI46</f>
        <v/>
      </c>
      <c r="AJ46" s="1542" t="str">
        <f>'別紙様式2-3（６月以降分）'!AJ46</f>
        <v/>
      </c>
      <c r="AK46" s="1538">
        <f>'別紙様式2-3（６月以降分）'!AK46</f>
        <v>0</v>
      </c>
      <c r="AL46" s="1540" t="str">
        <f>IF('別紙様式2-3（６月以降分）'!AL46="","",'別紙様式2-3（６月以降分）'!AL46)</f>
        <v/>
      </c>
      <c r="AM46" s="1571">
        <f>'別紙様式2-3（６月以降分）'!AM46</f>
        <v>0</v>
      </c>
      <c r="AN46" s="1573" t="str">
        <f>IF('別紙様式2-3（６月以降分）'!AN46="","",'別紙様式2-3（６月以降分）'!AN46)</f>
        <v/>
      </c>
      <c r="AO46" s="1403" t="str">
        <f>IF('別紙様式2-3（６月以降分）'!AO46="","",'別紙様式2-3（６月以降分）'!AO46)</f>
        <v/>
      </c>
      <c r="AP46" s="1502" t="str">
        <f>IF('別紙様式2-3（６月以降分）'!AP46="","",'別紙様式2-3（６月以降分）'!AP46)</f>
        <v/>
      </c>
      <c r="AQ46" s="1403" t="str">
        <f>IF('別紙様式2-3（６月以降分）'!AQ46="","",'別紙様式2-3（６月以降分）'!AQ46)</f>
        <v/>
      </c>
      <c r="AR46" s="1583" t="str">
        <f>IF('別紙様式2-3（６月以降分）'!AR46="","",'別紙様式2-3（６月以降分）'!AR46)</f>
        <v/>
      </c>
      <c r="AS46" s="1536" t="str">
        <f>IF('別紙様式2-3（６月以降分）'!AS46="","",'別紙様式2-3（６月以降分）'!AS46)</f>
        <v/>
      </c>
      <c r="AT46" s="667" t="str">
        <f t="shared" ref="AT46" si="32">IF(AV48="","",IF(V48&lt;V46,"！加算の要件上は問題ありませんが、令和６年度当初の新加算の加算率と比較して、移行後の加算率が下がる計画になっています。",""))</f>
        <v/>
      </c>
      <c r="AU46" s="674"/>
      <c r="AV46" s="1233"/>
      <c r="AW46" s="652" t="str">
        <f>IF('別紙様式2-2（４・５月分）'!O38="","",'別紙様式2-2（４・５月分）'!O38)</f>
        <v/>
      </c>
      <c r="AX46" s="1507" t="str">
        <f>IF(SUM('別紙様式2-2（４・５月分）'!P38:P40)=0,"",SUM('別紙様式2-2（４・５月分）'!P38:P40))</f>
        <v/>
      </c>
      <c r="AY46" s="1590" t="str">
        <f>IFERROR(VLOOKUP(K46,【参考】数式用!$AJ$2:$AK$24,2,FALSE),"")</f>
        <v/>
      </c>
      <c r="AZ46" s="584"/>
      <c r="BE46" s="428"/>
      <c r="BF46" s="1493" t="str">
        <f>G46</f>
        <v/>
      </c>
      <c r="BG46" s="1493"/>
      <c r="BH46" s="1493"/>
    </row>
    <row r="47" spans="1:60" ht="15" customHeight="1">
      <c r="A47" s="1226"/>
      <c r="B47" s="1272"/>
      <c r="C47" s="1261"/>
      <c r="D47" s="1261"/>
      <c r="E47" s="1261"/>
      <c r="F47" s="1262"/>
      <c r="G47" s="1266"/>
      <c r="H47" s="1266"/>
      <c r="I47" s="1266"/>
      <c r="J47" s="1372"/>
      <c r="K47" s="1266"/>
      <c r="L47" s="1451"/>
      <c r="M47" s="1448"/>
      <c r="N47" s="1370" t="str">
        <f>IF('別紙様式2-2（４・５月分）'!Q39="","",'別紙様式2-2（４・５月分）'!Q39)</f>
        <v/>
      </c>
      <c r="O47" s="1367"/>
      <c r="P47" s="1383"/>
      <c r="Q47" s="1384"/>
      <c r="R47" s="1385"/>
      <c r="S47" s="1393"/>
      <c r="T47" s="1414"/>
      <c r="U47" s="1563"/>
      <c r="V47" s="1458"/>
      <c r="W47" s="1351"/>
      <c r="X47" s="1535"/>
      <c r="Y47" s="1355"/>
      <c r="Z47" s="1535"/>
      <c r="AA47" s="1355"/>
      <c r="AB47" s="1535"/>
      <c r="AC47" s="1355"/>
      <c r="AD47" s="1535"/>
      <c r="AE47" s="1355"/>
      <c r="AF47" s="1355"/>
      <c r="AG47" s="1355"/>
      <c r="AH47" s="1361"/>
      <c r="AI47" s="1482"/>
      <c r="AJ47" s="1543"/>
      <c r="AK47" s="1539"/>
      <c r="AL47" s="1541"/>
      <c r="AM47" s="1572"/>
      <c r="AN47" s="1574"/>
      <c r="AO47" s="1404"/>
      <c r="AP47" s="1533"/>
      <c r="AQ47" s="1404"/>
      <c r="AR47" s="1584"/>
      <c r="AS47" s="1537"/>
      <c r="AT47" s="1532" t="str">
        <f t="shared" ref="AT47" si="33">IF(AV48="","",IF(OR(AB48="",AB48&lt;&gt;7,AD48="",AD48&lt;&gt;3),"！算定期間の終わりが令和７年３月になっていません。年度内の廃止予定等がなければ、算定対象月を令和７年３月にしてください。",""))</f>
        <v/>
      </c>
      <c r="AU47" s="674"/>
      <c r="AV47" s="1493"/>
      <c r="AW47" s="1518" t="str">
        <f>IF('別紙様式2-2（４・５月分）'!O39="","",'別紙様式2-2（４・５月分）'!O39)</f>
        <v/>
      </c>
      <c r="AX47" s="1507"/>
      <c r="AY47" s="1589"/>
      <c r="AZ47" s="521"/>
      <c r="BE47" s="428"/>
      <c r="BF47" s="1493" t="str">
        <f>G46</f>
        <v/>
      </c>
      <c r="BG47" s="1493"/>
      <c r="BH47" s="1493"/>
    </row>
    <row r="48" spans="1:60" ht="15" customHeight="1">
      <c r="A48" s="1240"/>
      <c r="B48" s="1272"/>
      <c r="C48" s="1261"/>
      <c r="D48" s="1261"/>
      <c r="E48" s="1261"/>
      <c r="F48" s="1262"/>
      <c r="G48" s="1266"/>
      <c r="H48" s="1266"/>
      <c r="I48" s="1266"/>
      <c r="J48" s="1372"/>
      <c r="K48" s="1266"/>
      <c r="L48" s="1451"/>
      <c r="M48" s="1448"/>
      <c r="N48" s="1371"/>
      <c r="O48" s="1368"/>
      <c r="P48" s="1390" t="s">
        <v>2179</v>
      </c>
      <c r="Q48" s="1504" t="str">
        <f>IFERROR(VLOOKUP('別紙様式2-2（４・５月分）'!AR38,【参考】数式用!$AT$5:$AV$22,3,FALSE),"")</f>
        <v/>
      </c>
      <c r="R48" s="1388" t="s">
        <v>2190</v>
      </c>
      <c r="S48" s="1396" t="str">
        <f>IFERROR(VLOOKUP(K46,【参考】数式用!$A$5:$AB$27,MATCH(Q48,【参考】数式用!$B$4:$AB$4,0)+1,0),"")</f>
        <v/>
      </c>
      <c r="T48" s="1459" t="s">
        <v>2267</v>
      </c>
      <c r="U48" s="1569"/>
      <c r="V48" s="1463" t="str">
        <f>IFERROR(VLOOKUP(K46,【参考】数式用!$A$5:$AB$27,MATCH(U48,【参考】数式用!$B$4:$AB$4,0)+1,0),"")</f>
        <v/>
      </c>
      <c r="W48" s="1465" t="s">
        <v>19</v>
      </c>
      <c r="X48" s="1564"/>
      <c r="Y48" s="1407" t="s">
        <v>10</v>
      </c>
      <c r="Z48" s="1564"/>
      <c r="AA48" s="1407" t="s">
        <v>45</v>
      </c>
      <c r="AB48" s="1564"/>
      <c r="AC48" s="1407" t="s">
        <v>10</v>
      </c>
      <c r="AD48" s="1564"/>
      <c r="AE48" s="1407" t="s">
        <v>2172</v>
      </c>
      <c r="AF48" s="1407" t="s">
        <v>24</v>
      </c>
      <c r="AG48" s="1407" t="str">
        <f>IF(X48&gt;=1,(AB48*12+AD48)-(X48*12+Z48)+1,"")</f>
        <v/>
      </c>
      <c r="AH48" s="1409" t="s">
        <v>38</v>
      </c>
      <c r="AI48" s="1411" t="str">
        <f t="shared" ref="AI48" si="34">IFERROR(ROUNDDOWN(ROUND(L46*V48,0)*M46,0)*AG48,"")</f>
        <v/>
      </c>
      <c r="AJ48" s="1577" t="str">
        <f>IFERROR(ROUNDDOWN(ROUND((L46*(V48-AX46)),0)*M46,0)*AG48,"")</f>
        <v/>
      </c>
      <c r="AK48" s="1494" t="str">
        <f>IFERROR(ROUNDDOWN(ROUNDDOWN(ROUND(L46*VLOOKUP(K46,【参考】数式用!$A$5:$AB$27,MATCH("新加算Ⅳ",【参考】数式用!$B$4:$AB$4,0)+1,0),0)*M46,0)*AG48*0.5,0),"")</f>
        <v/>
      </c>
      <c r="AL48" s="1579"/>
      <c r="AM48" s="1585" t="str">
        <f>IFERROR(IF('別紙様式2-2（４・５月分）'!Q40="ベア加算","", IF(OR(U48="新加算Ⅰ",U48="新加算Ⅱ",U48="新加算Ⅲ",U48="新加算Ⅳ"),ROUNDDOWN(ROUND(L46*VLOOKUP(K46,【参考】数式用!$A$5:$I$27,MATCH("ベア加算",【参考】数式用!$B$4:$I$4,0)+1,0),0)*M46,0)*AG48,"")),"")</f>
        <v/>
      </c>
      <c r="AN48" s="1548"/>
      <c r="AO48" s="1554"/>
      <c r="AP48" s="1552"/>
      <c r="AQ48" s="1554"/>
      <c r="AR48" s="1556"/>
      <c r="AS48" s="1558"/>
      <c r="AT48" s="1532"/>
      <c r="AU48" s="542"/>
      <c r="AV48" s="1493" t="str">
        <f t="shared" ref="AV48" si="35">IF(OR(AB46&lt;&gt;7,AD46&lt;&gt;3),"V列に色付け","")</f>
        <v/>
      </c>
      <c r="AW48" s="1518"/>
      <c r="AX48" s="1507"/>
      <c r="AY48" s="671"/>
      <c r="AZ48" s="1321" t="str">
        <f>IF(AM48&lt;&gt;"",IF(AN48="○","入力済","未入力"),"")</f>
        <v/>
      </c>
      <c r="BA48" s="1321"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321" t="str">
        <f>IF(OR(U48="新加算Ⅴ（７）",U48="新加算Ⅴ（９）",U48="新加算Ⅴ（10）",U48="新加算Ⅴ（12）",U48="新加算Ⅴ（13）",U48="新加算Ⅴ（14）"),IF(OR(AP48="○",AP48="令和６年度中に満たす"),"入力済","未入力"),"")</f>
        <v/>
      </c>
      <c r="BC48" s="1321" t="str">
        <f>IF(OR(U48="新加算Ⅰ",U48="新加算Ⅱ",U48="新加算Ⅲ",U48="新加算Ⅴ（１）",U48="新加算Ⅴ（３）",U48="新加算Ⅴ（８）"),IF(OR(AQ48="○",AQ48="令和６年度中に満たす"),"入力済","未入力"),"")</f>
        <v/>
      </c>
      <c r="BD48" s="1588"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493" t="str">
        <f>IF(OR(U48="新加算Ⅰ",U48="新加算Ⅴ（１）",U48="新加算Ⅴ（２）",U48="新加算Ⅴ（５）",U48="新加算Ⅴ（７）",U48="新加算Ⅴ（10）"),IF(AS48="","未入力","入力済"),"")</f>
        <v/>
      </c>
      <c r="BF48" s="1493" t="str">
        <f>G46</f>
        <v/>
      </c>
      <c r="BG48" s="1493"/>
      <c r="BH48" s="1493"/>
    </row>
    <row r="49" spans="1:60" ht="30" customHeight="1" thickBot="1">
      <c r="A49" s="1227"/>
      <c r="B49" s="1376"/>
      <c r="C49" s="1377"/>
      <c r="D49" s="1377"/>
      <c r="E49" s="1377"/>
      <c r="F49" s="1378"/>
      <c r="G49" s="1267"/>
      <c r="H49" s="1267"/>
      <c r="I49" s="1267"/>
      <c r="J49" s="1373"/>
      <c r="K49" s="1267"/>
      <c r="L49" s="1452"/>
      <c r="M49" s="1449"/>
      <c r="N49" s="650" t="str">
        <f>IF('別紙様式2-2（４・５月分）'!Q40="","",'別紙様式2-2（４・５月分）'!Q40)</f>
        <v/>
      </c>
      <c r="O49" s="1369"/>
      <c r="P49" s="1391"/>
      <c r="Q49" s="1505"/>
      <c r="R49" s="1389"/>
      <c r="S49" s="1395"/>
      <c r="T49" s="1460"/>
      <c r="U49" s="1570"/>
      <c r="V49" s="1464"/>
      <c r="W49" s="1466"/>
      <c r="X49" s="1565"/>
      <c r="Y49" s="1408"/>
      <c r="Z49" s="1565"/>
      <c r="AA49" s="1408"/>
      <c r="AB49" s="1565"/>
      <c r="AC49" s="1408"/>
      <c r="AD49" s="1565"/>
      <c r="AE49" s="1408"/>
      <c r="AF49" s="1408"/>
      <c r="AG49" s="1408"/>
      <c r="AH49" s="1410"/>
      <c r="AI49" s="1412"/>
      <c r="AJ49" s="1578"/>
      <c r="AK49" s="1495"/>
      <c r="AL49" s="1580"/>
      <c r="AM49" s="1586"/>
      <c r="AN49" s="1549"/>
      <c r="AO49" s="1555"/>
      <c r="AP49" s="1553"/>
      <c r="AQ49" s="1555"/>
      <c r="AR49" s="1557"/>
      <c r="AS49" s="1559"/>
      <c r="AT49" s="672" t="str">
        <f t="shared" ref="AT49" si="36">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42"/>
      <c r="AV49" s="1493"/>
      <c r="AW49" s="652" t="str">
        <f>IF('別紙様式2-2（４・５月分）'!O40="","",'別紙様式2-2（４・５月分）'!O40)</f>
        <v/>
      </c>
      <c r="AX49" s="1507"/>
      <c r="AY49" s="673"/>
      <c r="AZ49" s="1321" t="str">
        <f>IF(OR(U49="新加算Ⅰ",U49="新加算Ⅱ",U49="新加算Ⅲ",U49="新加算Ⅳ",U49="新加算Ⅴ（１）",U49="新加算Ⅴ（２）",U49="新加算Ⅴ（３）",U49="新加算ⅠⅤ（４）",U49="新加算Ⅴ（５）",U49="新加算Ⅴ（６）",U49="新加算Ⅴ（８）",U49="新加算Ⅴ（11）"),IF(AJ49="○","","未入力"),"")</f>
        <v/>
      </c>
      <c r="BA49" s="1321" t="str">
        <f>IF(OR(V49="新加算Ⅰ",V49="新加算Ⅱ",V49="新加算Ⅲ",V49="新加算Ⅳ",V49="新加算Ⅴ（１）",V49="新加算Ⅴ（２）",V49="新加算Ⅴ（３）",V49="新加算ⅠⅤ（４）",V49="新加算Ⅴ（５）",V49="新加算Ⅴ（６）",V49="新加算Ⅴ（８）",V49="新加算Ⅴ（11）"),IF(AK49="○","","未入力"),"")</f>
        <v/>
      </c>
      <c r="BB49" s="1321" t="str">
        <f>IF(OR(V49="新加算Ⅴ（７）",V49="新加算Ⅴ（９）",V49="新加算Ⅴ（10）",V49="新加算Ⅴ（12）",V49="新加算Ⅴ（13）",V49="新加算Ⅴ（14）"),IF(AL49="○","","未入力"),"")</f>
        <v/>
      </c>
      <c r="BC49" s="1321" t="str">
        <f>IF(OR(V49="新加算Ⅰ",V49="新加算Ⅱ",V49="新加算Ⅲ",V49="新加算Ⅴ（１）",V49="新加算Ⅴ（３）",V49="新加算Ⅴ（８）"),IF(AM49="○","","未入力"),"")</f>
        <v/>
      </c>
      <c r="BD49" s="1588"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493" t="str">
        <f>IF(AND(U49&lt;&gt;"（参考）令和７年度の移行予定",OR(V49="新加算Ⅰ",V49="新加算Ⅴ（１）",V49="新加算Ⅴ（２）",V49="新加算Ⅴ（５）",V49="新加算Ⅴ（７）",V49="新加算Ⅴ（10）")),IF(AO49="","未入力",IF(AO49="いずれも取得していない","要件を満たさない","")),"")</f>
        <v/>
      </c>
      <c r="BF49" s="1493" t="str">
        <f>G46</f>
        <v/>
      </c>
      <c r="BG49" s="1493"/>
      <c r="BH49" s="1493"/>
    </row>
    <row r="50" spans="1:60" ht="30" customHeight="1">
      <c r="A50" s="1225">
        <v>10</v>
      </c>
      <c r="B50" s="1271" t="str">
        <f>IF(基本情報入力シート!C63="","",基本情報入力シート!C63)</f>
        <v/>
      </c>
      <c r="C50" s="1259"/>
      <c r="D50" s="1259"/>
      <c r="E50" s="1259"/>
      <c r="F50" s="1260"/>
      <c r="G50" s="1265" t="str">
        <f>IF(基本情報入力シート!M63="","",基本情報入力シート!M63)</f>
        <v/>
      </c>
      <c r="H50" s="1265" t="str">
        <f>IF(基本情報入力シート!R63="","",基本情報入力シート!R63)</f>
        <v/>
      </c>
      <c r="I50" s="1265" t="str">
        <f>IF(基本情報入力シート!W63="","",基本情報入力シート!W63)</f>
        <v/>
      </c>
      <c r="J50" s="1379" t="str">
        <f>IF(基本情報入力シート!X63="","",基本情報入力シート!X63)</f>
        <v/>
      </c>
      <c r="K50" s="1265" t="str">
        <f>IF(基本情報入力シート!Y63="","",基本情報入力シート!Y63)</f>
        <v/>
      </c>
      <c r="L50" s="1450" t="str">
        <f>IF(基本情報入力シート!AB63="","",基本情報入力シート!AB63)</f>
        <v/>
      </c>
      <c r="M50" s="1587" t="str">
        <f>IF(基本情報入力シート!AC63="","",基本情報入力シート!AC63)</f>
        <v/>
      </c>
      <c r="N50" s="647" t="str">
        <f>IF('別紙様式2-2（４・５月分）'!Q41="","",'別紙様式2-2（４・５月分）'!Q41)</f>
        <v/>
      </c>
      <c r="O50" s="1366" t="str">
        <f>IF(SUM('別紙様式2-2（４・５月分）'!R41:R43)=0,"",SUM('別紙様式2-2（４・５月分）'!R41:R43))</f>
        <v/>
      </c>
      <c r="P50" s="1380" t="str">
        <f>IFERROR(VLOOKUP('別紙様式2-2（４・５月分）'!AR41,【参考】数式用!$AT$5:$AU$22,2,FALSE),"")</f>
        <v/>
      </c>
      <c r="Q50" s="1381"/>
      <c r="R50" s="1382"/>
      <c r="S50" s="1392" t="str">
        <f>IFERROR(VLOOKUP(K50,【参考】数式用!$A$5:$AB$27,MATCH(P50,【参考】数式用!$B$4:$AB$4,0)+1,0),"")</f>
        <v/>
      </c>
      <c r="T50" s="1413" t="s">
        <v>2258</v>
      </c>
      <c r="U50" s="1562" t="str">
        <f>IF('別紙様式2-3（６月以降分）'!U50="","",'別紙様式2-3（６月以降分）'!U50)</f>
        <v/>
      </c>
      <c r="V50" s="1457" t="str">
        <f>IFERROR(VLOOKUP(K50,【参考】数式用!$A$5:$AB$27,MATCH(U50,【参考】数式用!$B$4:$AB$4,0)+1,0),"")</f>
        <v/>
      </c>
      <c r="W50" s="1350" t="s">
        <v>19</v>
      </c>
      <c r="X50" s="1534">
        <f>'別紙様式2-3（６月以降分）'!X50</f>
        <v>6</v>
      </c>
      <c r="Y50" s="1354" t="s">
        <v>10</v>
      </c>
      <c r="Z50" s="1534">
        <f>'別紙様式2-3（６月以降分）'!Z50</f>
        <v>6</v>
      </c>
      <c r="AA50" s="1354" t="s">
        <v>45</v>
      </c>
      <c r="AB50" s="1534">
        <f>'別紙様式2-3（６月以降分）'!AB50</f>
        <v>7</v>
      </c>
      <c r="AC50" s="1354" t="s">
        <v>10</v>
      </c>
      <c r="AD50" s="1534">
        <f>'別紙様式2-3（６月以降分）'!AD50</f>
        <v>3</v>
      </c>
      <c r="AE50" s="1354" t="s">
        <v>2172</v>
      </c>
      <c r="AF50" s="1354" t="s">
        <v>24</v>
      </c>
      <c r="AG50" s="1354">
        <f>IF(X50&gt;=1,(AB50*12+AD50)-(X50*12+Z50)+1,"")</f>
        <v>10</v>
      </c>
      <c r="AH50" s="1360" t="s">
        <v>38</v>
      </c>
      <c r="AI50" s="1481" t="str">
        <f>'別紙様式2-3（６月以降分）'!AI50</f>
        <v/>
      </c>
      <c r="AJ50" s="1542" t="str">
        <f>'別紙様式2-3（６月以降分）'!AJ50</f>
        <v/>
      </c>
      <c r="AK50" s="1538">
        <f>'別紙様式2-3（６月以降分）'!AK50</f>
        <v>0</v>
      </c>
      <c r="AL50" s="1540" t="str">
        <f>IF('別紙様式2-3（６月以降分）'!AL50="","",'別紙様式2-3（６月以降分）'!AL50)</f>
        <v/>
      </c>
      <c r="AM50" s="1571">
        <f>'別紙様式2-3（６月以降分）'!AM50</f>
        <v>0</v>
      </c>
      <c r="AN50" s="1573" t="str">
        <f>IF('別紙様式2-3（６月以降分）'!AN50="","",'別紙様式2-3（６月以降分）'!AN50)</f>
        <v/>
      </c>
      <c r="AO50" s="1403" t="str">
        <f>IF('別紙様式2-3（６月以降分）'!AO50="","",'別紙様式2-3（６月以降分）'!AO50)</f>
        <v/>
      </c>
      <c r="AP50" s="1502" t="str">
        <f>IF('別紙様式2-3（６月以降分）'!AP50="","",'別紙様式2-3（６月以降分）'!AP50)</f>
        <v/>
      </c>
      <c r="AQ50" s="1403" t="str">
        <f>IF('別紙様式2-3（６月以降分）'!AQ50="","",'別紙様式2-3（６月以降分）'!AQ50)</f>
        <v/>
      </c>
      <c r="AR50" s="1583" t="str">
        <f>IF('別紙様式2-3（６月以降分）'!AR50="","",'別紙様式2-3（６月以降分）'!AR50)</f>
        <v/>
      </c>
      <c r="AS50" s="1536" t="str">
        <f>IF('別紙様式2-3（６月以降分）'!AS50="","",'別紙様式2-3（６月以降分）'!AS50)</f>
        <v/>
      </c>
      <c r="AT50" s="667" t="str">
        <f t="shared" ref="AT50" si="37">IF(AV52="","",IF(V52&lt;V50,"！加算の要件上は問題ありませんが、令和６年度当初の新加算の加算率と比較して、移行後の加算率が下がる計画になっています。",""))</f>
        <v/>
      </c>
      <c r="AU50" s="674"/>
      <c r="AV50" s="1233"/>
      <c r="AW50" s="652" t="str">
        <f>IF('別紙様式2-2（４・５月分）'!O41="","",'別紙様式2-2（４・５月分）'!O41)</f>
        <v/>
      </c>
      <c r="AX50" s="1507" t="str">
        <f>IF(SUM('別紙様式2-2（４・５月分）'!P41:P43)=0,"",SUM('別紙様式2-2（４・５月分）'!P41:P43))</f>
        <v/>
      </c>
      <c r="AY50" s="1589" t="str">
        <f>IFERROR(VLOOKUP(K50,【参考】数式用!$AJ$2:$AK$24,2,FALSE),"")</f>
        <v/>
      </c>
      <c r="AZ50" s="584"/>
      <c r="BE50" s="428"/>
      <c r="BF50" s="1493" t="str">
        <f>G50</f>
        <v/>
      </c>
      <c r="BG50" s="1493"/>
      <c r="BH50" s="1493"/>
    </row>
    <row r="51" spans="1:60" ht="15" customHeight="1">
      <c r="A51" s="1226"/>
      <c r="B51" s="1272"/>
      <c r="C51" s="1398"/>
      <c r="D51" s="1398"/>
      <c r="E51" s="1398"/>
      <c r="F51" s="1262"/>
      <c r="G51" s="1266"/>
      <c r="H51" s="1266"/>
      <c r="I51" s="1266"/>
      <c r="J51" s="1372"/>
      <c r="K51" s="1266"/>
      <c r="L51" s="1451"/>
      <c r="M51" s="1453"/>
      <c r="N51" s="1370" t="str">
        <f>IF('別紙様式2-2（４・５月分）'!Q42="","",'別紙様式2-2（４・５月分）'!Q42)</f>
        <v/>
      </c>
      <c r="O51" s="1367"/>
      <c r="P51" s="1383"/>
      <c r="Q51" s="1384"/>
      <c r="R51" s="1385"/>
      <c r="S51" s="1393"/>
      <c r="T51" s="1414"/>
      <c r="U51" s="1563"/>
      <c r="V51" s="1458"/>
      <c r="W51" s="1351"/>
      <c r="X51" s="1535"/>
      <c r="Y51" s="1355"/>
      <c r="Z51" s="1535"/>
      <c r="AA51" s="1355"/>
      <c r="AB51" s="1535"/>
      <c r="AC51" s="1355"/>
      <c r="AD51" s="1535"/>
      <c r="AE51" s="1355"/>
      <c r="AF51" s="1355"/>
      <c r="AG51" s="1355"/>
      <c r="AH51" s="1361"/>
      <c r="AI51" s="1482"/>
      <c r="AJ51" s="1543"/>
      <c r="AK51" s="1539"/>
      <c r="AL51" s="1541"/>
      <c r="AM51" s="1572"/>
      <c r="AN51" s="1574"/>
      <c r="AO51" s="1404"/>
      <c r="AP51" s="1533"/>
      <c r="AQ51" s="1404"/>
      <c r="AR51" s="1584"/>
      <c r="AS51" s="1537"/>
      <c r="AT51" s="1532" t="str">
        <f t="shared" ref="AT51" si="38">IF(AV52="","",IF(OR(AB52="",AB52&lt;&gt;7,AD52="",AD52&lt;&gt;3),"！算定期間の終わりが令和７年３月になっていません。年度内の廃止予定等がなければ、算定対象月を令和７年３月にしてください。",""))</f>
        <v/>
      </c>
      <c r="AU51" s="674"/>
      <c r="AV51" s="1493"/>
      <c r="AW51" s="1518" t="str">
        <f>IF('別紙様式2-2（４・５月分）'!O42="","",'別紙様式2-2（４・５月分）'!O42)</f>
        <v/>
      </c>
      <c r="AX51" s="1507"/>
      <c r="AY51" s="1589"/>
      <c r="AZ51" s="521"/>
      <c r="BE51" s="428"/>
      <c r="BF51" s="1493" t="str">
        <f>G50</f>
        <v/>
      </c>
      <c r="BG51" s="1493"/>
      <c r="BH51" s="1493"/>
    </row>
    <row r="52" spans="1:60" ht="15" customHeight="1">
      <c r="A52" s="1240"/>
      <c r="B52" s="1272"/>
      <c r="C52" s="1398"/>
      <c r="D52" s="1398"/>
      <c r="E52" s="1398"/>
      <c r="F52" s="1262"/>
      <c r="G52" s="1266"/>
      <c r="H52" s="1266"/>
      <c r="I52" s="1266"/>
      <c r="J52" s="1372"/>
      <c r="K52" s="1266"/>
      <c r="L52" s="1451"/>
      <c r="M52" s="1453"/>
      <c r="N52" s="1371"/>
      <c r="O52" s="1368"/>
      <c r="P52" s="1390" t="s">
        <v>2179</v>
      </c>
      <c r="Q52" s="1504" t="str">
        <f>IFERROR(VLOOKUP('別紙様式2-2（４・５月分）'!AR41,【参考】数式用!$AT$5:$AV$22,3,FALSE),"")</f>
        <v/>
      </c>
      <c r="R52" s="1388" t="s">
        <v>2190</v>
      </c>
      <c r="S52" s="1394" t="str">
        <f>IFERROR(VLOOKUP(K50,【参考】数式用!$A$5:$AB$27,MATCH(Q52,【参考】数式用!$B$4:$AB$4,0)+1,0),"")</f>
        <v/>
      </c>
      <c r="T52" s="1459" t="s">
        <v>2267</v>
      </c>
      <c r="U52" s="1569"/>
      <c r="V52" s="1463" t="str">
        <f>IFERROR(VLOOKUP(K50,【参考】数式用!$A$5:$AB$27,MATCH(U52,【参考】数式用!$B$4:$AB$4,0)+1,0),"")</f>
        <v/>
      </c>
      <c r="W52" s="1465" t="s">
        <v>19</v>
      </c>
      <c r="X52" s="1564"/>
      <c r="Y52" s="1407" t="s">
        <v>10</v>
      </c>
      <c r="Z52" s="1564"/>
      <c r="AA52" s="1407" t="s">
        <v>45</v>
      </c>
      <c r="AB52" s="1564"/>
      <c r="AC52" s="1407" t="s">
        <v>10</v>
      </c>
      <c r="AD52" s="1564"/>
      <c r="AE52" s="1407" t="s">
        <v>2172</v>
      </c>
      <c r="AF52" s="1407" t="s">
        <v>24</v>
      </c>
      <c r="AG52" s="1407" t="str">
        <f>IF(X52&gt;=1,(AB52*12+AD52)-(X52*12+Z52)+1,"")</f>
        <v/>
      </c>
      <c r="AH52" s="1409" t="s">
        <v>38</v>
      </c>
      <c r="AI52" s="1411" t="str">
        <f t="shared" ref="AI52" si="39">IFERROR(ROUNDDOWN(ROUND(L50*V52,0)*M50,0)*AG52,"")</f>
        <v/>
      </c>
      <c r="AJ52" s="1577" t="str">
        <f>IFERROR(ROUNDDOWN(ROUND((L50*(V52-AX50)),0)*M50,0)*AG52,"")</f>
        <v/>
      </c>
      <c r="AK52" s="1494" t="str">
        <f>IFERROR(ROUNDDOWN(ROUNDDOWN(ROUND(L50*VLOOKUP(K50,【参考】数式用!$A$5:$AB$27,MATCH("新加算Ⅳ",【参考】数式用!$B$4:$AB$4,0)+1,0),0)*M50,0)*AG52*0.5,0),"")</f>
        <v/>
      </c>
      <c r="AL52" s="1579"/>
      <c r="AM52" s="1585" t="str">
        <f>IFERROR(IF('別紙様式2-2（４・５月分）'!Q43="ベア加算","", IF(OR(U52="新加算Ⅰ",U52="新加算Ⅱ",U52="新加算Ⅲ",U52="新加算Ⅳ"),ROUNDDOWN(ROUND(L50*VLOOKUP(K50,【参考】数式用!$A$5:$I$27,MATCH("ベア加算",【参考】数式用!$B$4:$I$4,0)+1,0),0)*M50,0)*AG52,"")),"")</f>
        <v/>
      </c>
      <c r="AN52" s="1548"/>
      <c r="AO52" s="1554"/>
      <c r="AP52" s="1552"/>
      <c r="AQ52" s="1554"/>
      <c r="AR52" s="1556"/>
      <c r="AS52" s="1558"/>
      <c r="AT52" s="1532"/>
      <c r="AU52" s="542"/>
      <c r="AV52" s="1493" t="str">
        <f t="shared" ref="AV52" si="40">IF(OR(AB50&lt;&gt;7,AD50&lt;&gt;3),"V列に色付け","")</f>
        <v/>
      </c>
      <c r="AW52" s="1518"/>
      <c r="AX52" s="1507"/>
      <c r="AY52" s="671"/>
      <c r="AZ52" s="1321" t="str">
        <f>IF(AM52&lt;&gt;"",IF(AN52="○","入力済","未入力"),"")</f>
        <v/>
      </c>
      <c r="BA52" s="1321"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321" t="str">
        <f>IF(OR(U52="新加算Ⅴ（７）",U52="新加算Ⅴ（９）",U52="新加算Ⅴ（10）",U52="新加算Ⅴ（12）",U52="新加算Ⅴ（13）",U52="新加算Ⅴ（14）"),IF(OR(AP52="○",AP52="令和６年度中に満たす"),"入力済","未入力"),"")</f>
        <v/>
      </c>
      <c r="BC52" s="1321" t="str">
        <f>IF(OR(U52="新加算Ⅰ",U52="新加算Ⅱ",U52="新加算Ⅲ",U52="新加算Ⅴ（１）",U52="新加算Ⅴ（３）",U52="新加算Ⅴ（８）"),IF(OR(AQ52="○",AQ52="令和６年度中に満たす"),"入力済","未入力"),"")</f>
        <v/>
      </c>
      <c r="BD52" s="1588"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493" t="str">
        <f>IF(OR(U52="新加算Ⅰ",U52="新加算Ⅴ（１）",U52="新加算Ⅴ（２）",U52="新加算Ⅴ（５）",U52="新加算Ⅴ（７）",U52="新加算Ⅴ（10）"),IF(AS52="","未入力","入力済"),"")</f>
        <v/>
      </c>
      <c r="BF52" s="1493" t="str">
        <f>G50</f>
        <v/>
      </c>
      <c r="BG52" s="1493"/>
      <c r="BH52" s="1493"/>
    </row>
    <row r="53" spans="1:60" ht="30" customHeight="1" thickBot="1">
      <c r="A53" s="1227"/>
      <c r="B53" s="1376"/>
      <c r="C53" s="1377"/>
      <c r="D53" s="1377"/>
      <c r="E53" s="1377"/>
      <c r="F53" s="1378"/>
      <c r="G53" s="1267"/>
      <c r="H53" s="1267"/>
      <c r="I53" s="1267"/>
      <c r="J53" s="1373"/>
      <c r="K53" s="1267"/>
      <c r="L53" s="1452"/>
      <c r="M53" s="1454"/>
      <c r="N53" s="650" t="str">
        <f>IF('別紙様式2-2（４・５月分）'!Q43="","",'別紙様式2-2（４・５月分）'!Q43)</f>
        <v/>
      </c>
      <c r="O53" s="1369"/>
      <c r="P53" s="1391"/>
      <c r="Q53" s="1505"/>
      <c r="R53" s="1389"/>
      <c r="S53" s="1395"/>
      <c r="T53" s="1460"/>
      <c r="U53" s="1570"/>
      <c r="V53" s="1464"/>
      <c r="W53" s="1466"/>
      <c r="X53" s="1565"/>
      <c r="Y53" s="1408"/>
      <c r="Z53" s="1565"/>
      <c r="AA53" s="1408"/>
      <c r="AB53" s="1565"/>
      <c r="AC53" s="1408"/>
      <c r="AD53" s="1565"/>
      <c r="AE53" s="1408"/>
      <c r="AF53" s="1408"/>
      <c r="AG53" s="1408"/>
      <c r="AH53" s="1410"/>
      <c r="AI53" s="1412"/>
      <c r="AJ53" s="1578"/>
      <c r="AK53" s="1495"/>
      <c r="AL53" s="1580"/>
      <c r="AM53" s="1586"/>
      <c r="AN53" s="1549"/>
      <c r="AO53" s="1555"/>
      <c r="AP53" s="1553"/>
      <c r="AQ53" s="1555"/>
      <c r="AR53" s="1557"/>
      <c r="AS53" s="1559"/>
      <c r="AT53" s="672" t="str">
        <f t="shared" ref="AT53" si="41">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42"/>
      <c r="AV53" s="1493"/>
      <c r="AW53" s="652" t="str">
        <f>IF('別紙様式2-2（４・５月分）'!O43="","",'別紙様式2-2（４・５月分）'!O43)</f>
        <v/>
      </c>
      <c r="AX53" s="1507"/>
      <c r="AY53" s="673"/>
      <c r="AZ53" s="1321" t="str">
        <f>IF(OR(U53="新加算Ⅰ",U53="新加算Ⅱ",U53="新加算Ⅲ",U53="新加算Ⅳ",U53="新加算Ⅴ（１）",U53="新加算Ⅴ（２）",U53="新加算Ⅴ（３）",U53="新加算ⅠⅤ（４）",U53="新加算Ⅴ（５）",U53="新加算Ⅴ（６）",U53="新加算Ⅴ（８）",U53="新加算Ⅴ（11）"),IF(AJ53="○","","未入力"),"")</f>
        <v/>
      </c>
      <c r="BA53" s="1321" t="str">
        <f>IF(OR(V53="新加算Ⅰ",V53="新加算Ⅱ",V53="新加算Ⅲ",V53="新加算Ⅳ",V53="新加算Ⅴ（１）",V53="新加算Ⅴ（２）",V53="新加算Ⅴ（３）",V53="新加算ⅠⅤ（４）",V53="新加算Ⅴ（５）",V53="新加算Ⅴ（６）",V53="新加算Ⅴ（８）",V53="新加算Ⅴ（11）"),IF(AK53="○","","未入力"),"")</f>
        <v/>
      </c>
      <c r="BB53" s="1321" t="str">
        <f>IF(OR(V53="新加算Ⅴ（７）",V53="新加算Ⅴ（９）",V53="新加算Ⅴ（10）",V53="新加算Ⅴ（12）",V53="新加算Ⅴ（13）",V53="新加算Ⅴ（14）"),IF(AL53="○","","未入力"),"")</f>
        <v/>
      </c>
      <c r="BC53" s="1321" t="str">
        <f>IF(OR(V53="新加算Ⅰ",V53="新加算Ⅱ",V53="新加算Ⅲ",V53="新加算Ⅴ（１）",V53="新加算Ⅴ（３）",V53="新加算Ⅴ（８）"),IF(AM53="○","","未入力"),"")</f>
        <v/>
      </c>
      <c r="BD53" s="1588"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493" t="str">
        <f>IF(AND(U53&lt;&gt;"（参考）令和７年度の移行予定",OR(V53="新加算Ⅰ",V53="新加算Ⅴ（１）",V53="新加算Ⅴ（２）",V53="新加算Ⅴ（５）",V53="新加算Ⅴ（７）",V53="新加算Ⅴ（10）")),IF(AO53="","未入力",IF(AO53="いずれも取得していない","要件を満たさない","")),"")</f>
        <v/>
      </c>
      <c r="BF53" s="1493" t="str">
        <f>G50</f>
        <v/>
      </c>
      <c r="BG53" s="1493"/>
      <c r="BH53" s="1493"/>
    </row>
    <row r="54" spans="1:60" ht="30" customHeight="1">
      <c r="A54" s="1225">
        <v>11</v>
      </c>
      <c r="B54" s="1271" t="str">
        <f>IF(基本情報入力シート!C64="","",基本情報入力シート!C64)</f>
        <v/>
      </c>
      <c r="C54" s="1259"/>
      <c r="D54" s="1259"/>
      <c r="E54" s="1259"/>
      <c r="F54" s="1260"/>
      <c r="G54" s="1265" t="str">
        <f>IF(基本情報入力シート!M64="","",基本情報入力シート!M64)</f>
        <v/>
      </c>
      <c r="H54" s="1265" t="str">
        <f>IF(基本情報入力シート!R64="","",基本情報入力シート!R64)</f>
        <v/>
      </c>
      <c r="I54" s="1265" t="str">
        <f>IF(基本情報入力シート!W64="","",基本情報入力シート!W64)</f>
        <v/>
      </c>
      <c r="J54" s="1379" t="str">
        <f>IF(基本情報入力シート!X64="","",基本情報入力シート!X64)</f>
        <v/>
      </c>
      <c r="K54" s="1265" t="str">
        <f>IF(基本情報入力シート!Y64="","",基本情報入力シート!Y64)</f>
        <v/>
      </c>
      <c r="L54" s="1450" t="str">
        <f>IF(基本情報入力シート!AB64="","",基本情報入力シート!AB64)</f>
        <v/>
      </c>
      <c r="M54" s="1447" t="str">
        <f>IF(基本情報入力シート!AC64="","",基本情報入力シート!AC64)</f>
        <v/>
      </c>
      <c r="N54" s="647" t="str">
        <f>IF('別紙様式2-2（４・５月分）'!Q44="","",'別紙様式2-2（４・５月分）'!Q44)</f>
        <v/>
      </c>
      <c r="O54" s="1366" t="str">
        <f>IF(SUM('別紙様式2-2（４・５月分）'!R44:R46)=0,"",SUM('別紙様式2-2（４・５月分）'!R44:R46))</f>
        <v/>
      </c>
      <c r="P54" s="1380" t="str">
        <f>IFERROR(VLOOKUP('別紙様式2-2（４・５月分）'!AR44,【参考】数式用!$AT$5:$AU$22,2,FALSE),"")</f>
        <v/>
      </c>
      <c r="Q54" s="1381"/>
      <c r="R54" s="1382"/>
      <c r="S54" s="1392" t="str">
        <f>IFERROR(VLOOKUP(K54,【参考】数式用!$A$5:$AB$27,MATCH(P54,【参考】数式用!$B$4:$AB$4,0)+1,0),"")</f>
        <v/>
      </c>
      <c r="T54" s="1413" t="s">
        <v>2258</v>
      </c>
      <c r="U54" s="1562" t="str">
        <f>IF('別紙様式2-3（６月以降分）'!U54="","",'別紙様式2-3（６月以降分）'!U54)</f>
        <v/>
      </c>
      <c r="V54" s="1457" t="str">
        <f>IFERROR(VLOOKUP(K54,【参考】数式用!$A$5:$AB$27,MATCH(U54,【参考】数式用!$B$4:$AB$4,0)+1,0),"")</f>
        <v/>
      </c>
      <c r="W54" s="1350" t="s">
        <v>19</v>
      </c>
      <c r="X54" s="1534">
        <f>'別紙様式2-3（６月以降分）'!X54</f>
        <v>6</v>
      </c>
      <c r="Y54" s="1354" t="s">
        <v>10</v>
      </c>
      <c r="Z54" s="1534">
        <f>'別紙様式2-3（６月以降分）'!Z54</f>
        <v>6</v>
      </c>
      <c r="AA54" s="1354" t="s">
        <v>45</v>
      </c>
      <c r="AB54" s="1534">
        <f>'別紙様式2-3（６月以降分）'!AB54</f>
        <v>7</v>
      </c>
      <c r="AC54" s="1354" t="s">
        <v>10</v>
      </c>
      <c r="AD54" s="1534">
        <f>'別紙様式2-3（６月以降分）'!AD54</f>
        <v>3</v>
      </c>
      <c r="AE54" s="1354" t="s">
        <v>2172</v>
      </c>
      <c r="AF54" s="1354" t="s">
        <v>24</v>
      </c>
      <c r="AG54" s="1354">
        <f>IF(X54&gt;=1,(AB54*12+AD54)-(X54*12+Z54)+1,"")</f>
        <v>10</v>
      </c>
      <c r="AH54" s="1360" t="s">
        <v>38</v>
      </c>
      <c r="AI54" s="1481" t="str">
        <f>'別紙様式2-3（６月以降分）'!AI54</f>
        <v/>
      </c>
      <c r="AJ54" s="1542" t="str">
        <f>'別紙様式2-3（６月以降分）'!AJ54</f>
        <v/>
      </c>
      <c r="AK54" s="1538">
        <f>'別紙様式2-3（６月以降分）'!AK54</f>
        <v>0</v>
      </c>
      <c r="AL54" s="1540" t="str">
        <f>IF('別紙様式2-3（６月以降分）'!AL54="","",'別紙様式2-3（６月以降分）'!AL54)</f>
        <v/>
      </c>
      <c r="AM54" s="1571">
        <f>'別紙様式2-3（６月以降分）'!AM54</f>
        <v>0</v>
      </c>
      <c r="AN54" s="1573" t="str">
        <f>IF('別紙様式2-3（６月以降分）'!AN54="","",'別紙様式2-3（６月以降分）'!AN54)</f>
        <v/>
      </c>
      <c r="AO54" s="1403" t="str">
        <f>IF('別紙様式2-3（６月以降分）'!AO54="","",'別紙様式2-3（６月以降分）'!AO54)</f>
        <v/>
      </c>
      <c r="AP54" s="1502" t="str">
        <f>IF('別紙様式2-3（６月以降分）'!AP54="","",'別紙様式2-3（６月以降分）'!AP54)</f>
        <v/>
      </c>
      <c r="AQ54" s="1403" t="str">
        <f>IF('別紙様式2-3（６月以降分）'!AQ54="","",'別紙様式2-3（６月以降分）'!AQ54)</f>
        <v/>
      </c>
      <c r="AR54" s="1583" t="str">
        <f>IF('別紙様式2-3（６月以降分）'!AR54="","",'別紙様式2-3（６月以降分）'!AR54)</f>
        <v/>
      </c>
      <c r="AS54" s="1536" t="str">
        <f>IF('別紙様式2-3（６月以降分）'!AS54="","",'別紙様式2-3（６月以降分）'!AS54)</f>
        <v/>
      </c>
      <c r="AT54" s="667" t="str">
        <f t="shared" ref="AT54" si="42">IF(AV56="","",IF(V56&lt;V54,"！加算の要件上は問題ありませんが、令和６年度当初の新加算の加算率と比較して、移行後の加算率が下がる計画になっています。",""))</f>
        <v/>
      </c>
      <c r="AU54" s="674"/>
      <c r="AV54" s="1233"/>
      <c r="AW54" s="652" t="str">
        <f>IF('別紙様式2-2（４・５月分）'!O44="","",'別紙様式2-2（４・５月分）'!O44)</f>
        <v/>
      </c>
      <c r="AX54" s="1507" t="str">
        <f>IF(SUM('別紙様式2-2（４・５月分）'!P44:P46)=0,"",SUM('別紙様式2-2（４・５月分）'!P44:P46))</f>
        <v/>
      </c>
      <c r="AY54" s="1590" t="str">
        <f>IFERROR(VLOOKUP(K54,【参考】数式用!$AJ$2:$AK$24,2,FALSE),"")</f>
        <v/>
      </c>
      <c r="AZ54" s="584"/>
      <c r="BE54" s="428"/>
      <c r="BF54" s="1493" t="str">
        <f>G54</f>
        <v/>
      </c>
      <c r="BG54" s="1493"/>
      <c r="BH54" s="1493"/>
    </row>
    <row r="55" spans="1:60" ht="15" customHeight="1">
      <c r="A55" s="1226"/>
      <c r="B55" s="1272"/>
      <c r="C55" s="1261"/>
      <c r="D55" s="1261"/>
      <c r="E55" s="1261"/>
      <c r="F55" s="1262"/>
      <c r="G55" s="1266"/>
      <c r="H55" s="1266"/>
      <c r="I55" s="1266"/>
      <c r="J55" s="1372"/>
      <c r="K55" s="1266"/>
      <c r="L55" s="1451"/>
      <c r="M55" s="1448"/>
      <c r="N55" s="1370" t="str">
        <f>IF('別紙様式2-2（４・５月分）'!Q45="","",'別紙様式2-2（４・５月分）'!Q45)</f>
        <v/>
      </c>
      <c r="O55" s="1367"/>
      <c r="P55" s="1383"/>
      <c r="Q55" s="1384"/>
      <c r="R55" s="1385"/>
      <c r="S55" s="1393"/>
      <c r="T55" s="1414"/>
      <c r="U55" s="1563"/>
      <c r="V55" s="1458"/>
      <c r="W55" s="1351"/>
      <c r="X55" s="1535"/>
      <c r="Y55" s="1355"/>
      <c r="Z55" s="1535"/>
      <c r="AA55" s="1355"/>
      <c r="AB55" s="1535"/>
      <c r="AC55" s="1355"/>
      <c r="AD55" s="1535"/>
      <c r="AE55" s="1355"/>
      <c r="AF55" s="1355"/>
      <c r="AG55" s="1355"/>
      <c r="AH55" s="1361"/>
      <c r="AI55" s="1482"/>
      <c r="AJ55" s="1543"/>
      <c r="AK55" s="1539"/>
      <c r="AL55" s="1541"/>
      <c r="AM55" s="1572"/>
      <c r="AN55" s="1574"/>
      <c r="AO55" s="1404"/>
      <c r="AP55" s="1533"/>
      <c r="AQ55" s="1404"/>
      <c r="AR55" s="1584"/>
      <c r="AS55" s="1537"/>
      <c r="AT55" s="1532" t="str">
        <f t="shared" ref="AT55" si="43">IF(AV56="","",IF(OR(AB56="",AB56&lt;&gt;7,AD56="",AD56&lt;&gt;3),"！算定期間の終わりが令和７年３月になっていません。年度内の廃止予定等がなければ、算定対象月を令和７年３月にしてください。",""))</f>
        <v/>
      </c>
      <c r="AU55" s="674"/>
      <c r="AV55" s="1493"/>
      <c r="AW55" s="1518" t="str">
        <f>IF('別紙様式2-2（４・５月分）'!O45="","",'別紙様式2-2（４・５月分）'!O45)</f>
        <v/>
      </c>
      <c r="AX55" s="1507"/>
      <c r="AY55" s="1589"/>
      <c r="AZ55" s="521"/>
      <c r="BE55" s="428"/>
      <c r="BF55" s="1493" t="str">
        <f>G54</f>
        <v/>
      </c>
      <c r="BG55" s="1493"/>
      <c r="BH55" s="1493"/>
    </row>
    <row r="56" spans="1:60" ht="15" customHeight="1">
      <c r="A56" s="1240"/>
      <c r="B56" s="1272"/>
      <c r="C56" s="1261"/>
      <c r="D56" s="1261"/>
      <c r="E56" s="1261"/>
      <c r="F56" s="1262"/>
      <c r="G56" s="1266"/>
      <c r="H56" s="1266"/>
      <c r="I56" s="1266"/>
      <c r="J56" s="1372"/>
      <c r="K56" s="1266"/>
      <c r="L56" s="1451"/>
      <c r="M56" s="1448"/>
      <c r="N56" s="1371"/>
      <c r="O56" s="1368"/>
      <c r="P56" s="1390" t="s">
        <v>2179</v>
      </c>
      <c r="Q56" s="1504" t="str">
        <f>IFERROR(VLOOKUP('別紙様式2-2（４・５月分）'!AR44,【参考】数式用!$AT$5:$AV$22,3,FALSE),"")</f>
        <v/>
      </c>
      <c r="R56" s="1388" t="s">
        <v>2190</v>
      </c>
      <c r="S56" s="1396" t="str">
        <f>IFERROR(VLOOKUP(K54,【参考】数式用!$A$5:$AB$27,MATCH(Q56,【参考】数式用!$B$4:$AB$4,0)+1,0),"")</f>
        <v/>
      </c>
      <c r="T56" s="1459" t="s">
        <v>2267</v>
      </c>
      <c r="U56" s="1569"/>
      <c r="V56" s="1463" t="str">
        <f>IFERROR(VLOOKUP(K54,【参考】数式用!$A$5:$AB$27,MATCH(U56,【参考】数式用!$B$4:$AB$4,0)+1,0),"")</f>
        <v/>
      </c>
      <c r="W56" s="1465" t="s">
        <v>19</v>
      </c>
      <c r="X56" s="1564"/>
      <c r="Y56" s="1407" t="s">
        <v>10</v>
      </c>
      <c r="Z56" s="1564"/>
      <c r="AA56" s="1407" t="s">
        <v>45</v>
      </c>
      <c r="AB56" s="1564"/>
      <c r="AC56" s="1407" t="s">
        <v>10</v>
      </c>
      <c r="AD56" s="1564"/>
      <c r="AE56" s="1407" t="s">
        <v>2172</v>
      </c>
      <c r="AF56" s="1407" t="s">
        <v>24</v>
      </c>
      <c r="AG56" s="1407" t="str">
        <f>IF(X56&gt;=1,(AB56*12+AD56)-(X56*12+Z56)+1,"")</f>
        <v/>
      </c>
      <c r="AH56" s="1409" t="s">
        <v>38</v>
      </c>
      <c r="AI56" s="1411" t="str">
        <f t="shared" ref="AI56" si="44">IFERROR(ROUNDDOWN(ROUND(L54*V56,0)*M54,0)*AG56,"")</f>
        <v/>
      </c>
      <c r="AJ56" s="1577" t="str">
        <f>IFERROR(ROUNDDOWN(ROUND((L54*(V56-AX54)),0)*M54,0)*AG56,"")</f>
        <v/>
      </c>
      <c r="AK56" s="1494" t="str">
        <f>IFERROR(ROUNDDOWN(ROUNDDOWN(ROUND(L54*VLOOKUP(K54,【参考】数式用!$A$5:$AB$27,MATCH("新加算Ⅳ",【参考】数式用!$B$4:$AB$4,0)+1,0),0)*M54,0)*AG56*0.5,0),"")</f>
        <v/>
      </c>
      <c r="AL56" s="1579"/>
      <c r="AM56" s="1585" t="str">
        <f>IFERROR(IF('別紙様式2-2（４・５月分）'!Q46="ベア加算","", IF(OR(U56="新加算Ⅰ",U56="新加算Ⅱ",U56="新加算Ⅲ",U56="新加算Ⅳ"),ROUNDDOWN(ROUND(L54*VLOOKUP(K54,【参考】数式用!$A$5:$I$27,MATCH("ベア加算",【参考】数式用!$B$4:$I$4,0)+1,0),0)*M54,0)*AG56,"")),"")</f>
        <v/>
      </c>
      <c r="AN56" s="1548"/>
      <c r="AO56" s="1554"/>
      <c r="AP56" s="1552"/>
      <c r="AQ56" s="1554"/>
      <c r="AR56" s="1556"/>
      <c r="AS56" s="1558"/>
      <c r="AT56" s="1532"/>
      <c r="AU56" s="542"/>
      <c r="AV56" s="1493" t="str">
        <f t="shared" ref="AV56" si="45">IF(OR(AB54&lt;&gt;7,AD54&lt;&gt;3),"V列に色付け","")</f>
        <v/>
      </c>
      <c r="AW56" s="1518"/>
      <c r="AX56" s="1507"/>
      <c r="AY56" s="671"/>
      <c r="AZ56" s="1321" t="str">
        <f>IF(AM56&lt;&gt;"",IF(AN56="○","入力済","未入力"),"")</f>
        <v/>
      </c>
      <c r="BA56" s="1321"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321" t="str">
        <f>IF(OR(U56="新加算Ⅴ（７）",U56="新加算Ⅴ（９）",U56="新加算Ⅴ（10）",U56="新加算Ⅴ（12）",U56="新加算Ⅴ（13）",U56="新加算Ⅴ（14）"),IF(OR(AP56="○",AP56="令和６年度中に満たす"),"入力済","未入力"),"")</f>
        <v/>
      </c>
      <c r="BC56" s="1321" t="str">
        <f>IF(OR(U56="新加算Ⅰ",U56="新加算Ⅱ",U56="新加算Ⅲ",U56="新加算Ⅴ（１）",U56="新加算Ⅴ（３）",U56="新加算Ⅴ（８）"),IF(OR(AQ56="○",AQ56="令和６年度中に満たす"),"入力済","未入力"),"")</f>
        <v/>
      </c>
      <c r="BD56" s="1588"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493" t="str">
        <f>IF(OR(U56="新加算Ⅰ",U56="新加算Ⅴ（１）",U56="新加算Ⅴ（２）",U56="新加算Ⅴ（５）",U56="新加算Ⅴ（７）",U56="新加算Ⅴ（10）"),IF(AS56="","未入力","入力済"),"")</f>
        <v/>
      </c>
      <c r="BF56" s="1493" t="str">
        <f>G54</f>
        <v/>
      </c>
      <c r="BG56" s="1493"/>
      <c r="BH56" s="1493"/>
    </row>
    <row r="57" spans="1:60" ht="30" customHeight="1" thickBot="1">
      <c r="A57" s="1227"/>
      <c r="B57" s="1376"/>
      <c r="C57" s="1377"/>
      <c r="D57" s="1377"/>
      <c r="E57" s="1377"/>
      <c r="F57" s="1378"/>
      <c r="G57" s="1267"/>
      <c r="H57" s="1267"/>
      <c r="I57" s="1267"/>
      <c r="J57" s="1373"/>
      <c r="K57" s="1267"/>
      <c r="L57" s="1452"/>
      <c r="M57" s="1449"/>
      <c r="N57" s="650" t="str">
        <f>IF('別紙様式2-2（４・５月分）'!Q46="","",'別紙様式2-2（４・５月分）'!Q46)</f>
        <v/>
      </c>
      <c r="O57" s="1369"/>
      <c r="P57" s="1391"/>
      <c r="Q57" s="1505"/>
      <c r="R57" s="1389"/>
      <c r="S57" s="1395"/>
      <c r="T57" s="1460"/>
      <c r="U57" s="1570"/>
      <c r="V57" s="1464"/>
      <c r="W57" s="1466"/>
      <c r="X57" s="1565"/>
      <c r="Y57" s="1408"/>
      <c r="Z57" s="1565"/>
      <c r="AA57" s="1408"/>
      <c r="AB57" s="1565"/>
      <c r="AC57" s="1408"/>
      <c r="AD57" s="1565"/>
      <c r="AE57" s="1408"/>
      <c r="AF57" s="1408"/>
      <c r="AG57" s="1408"/>
      <c r="AH57" s="1410"/>
      <c r="AI57" s="1412"/>
      <c r="AJ57" s="1578"/>
      <c r="AK57" s="1495"/>
      <c r="AL57" s="1580"/>
      <c r="AM57" s="1586"/>
      <c r="AN57" s="1549"/>
      <c r="AO57" s="1555"/>
      <c r="AP57" s="1553"/>
      <c r="AQ57" s="1555"/>
      <c r="AR57" s="1557"/>
      <c r="AS57" s="1559"/>
      <c r="AT57" s="672" t="str">
        <f t="shared" ref="AT57" si="4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42"/>
      <c r="AV57" s="1493"/>
      <c r="AW57" s="652" t="str">
        <f>IF('別紙様式2-2（４・５月分）'!O46="","",'別紙様式2-2（４・５月分）'!O46)</f>
        <v/>
      </c>
      <c r="AX57" s="1507"/>
      <c r="AY57" s="673"/>
      <c r="AZ57" s="1321" t="str">
        <f>IF(OR(U57="新加算Ⅰ",U57="新加算Ⅱ",U57="新加算Ⅲ",U57="新加算Ⅳ",U57="新加算Ⅴ（１）",U57="新加算Ⅴ（２）",U57="新加算Ⅴ（３）",U57="新加算ⅠⅤ（４）",U57="新加算Ⅴ（５）",U57="新加算Ⅴ（６）",U57="新加算Ⅴ（８）",U57="新加算Ⅴ（11）"),IF(AJ57="○","","未入力"),"")</f>
        <v/>
      </c>
      <c r="BA57" s="1321" t="str">
        <f>IF(OR(V57="新加算Ⅰ",V57="新加算Ⅱ",V57="新加算Ⅲ",V57="新加算Ⅳ",V57="新加算Ⅴ（１）",V57="新加算Ⅴ（２）",V57="新加算Ⅴ（３）",V57="新加算ⅠⅤ（４）",V57="新加算Ⅴ（５）",V57="新加算Ⅴ（６）",V57="新加算Ⅴ（８）",V57="新加算Ⅴ（11）"),IF(AK57="○","","未入力"),"")</f>
        <v/>
      </c>
      <c r="BB57" s="1321" t="str">
        <f>IF(OR(V57="新加算Ⅴ（７）",V57="新加算Ⅴ（９）",V57="新加算Ⅴ（10）",V57="新加算Ⅴ（12）",V57="新加算Ⅴ（13）",V57="新加算Ⅴ（14）"),IF(AL57="○","","未入力"),"")</f>
        <v/>
      </c>
      <c r="BC57" s="1321" t="str">
        <f>IF(OR(V57="新加算Ⅰ",V57="新加算Ⅱ",V57="新加算Ⅲ",V57="新加算Ⅴ（１）",V57="新加算Ⅴ（３）",V57="新加算Ⅴ（８）"),IF(AM57="○","","未入力"),"")</f>
        <v/>
      </c>
      <c r="BD57" s="1588"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493" t="str">
        <f>IF(AND(U57&lt;&gt;"（参考）令和７年度の移行予定",OR(V57="新加算Ⅰ",V57="新加算Ⅴ（１）",V57="新加算Ⅴ（２）",V57="新加算Ⅴ（５）",V57="新加算Ⅴ（７）",V57="新加算Ⅴ（10）")),IF(AO57="","未入力",IF(AO57="いずれも取得していない","要件を満たさない","")),"")</f>
        <v/>
      </c>
      <c r="BF57" s="1493" t="str">
        <f>G54</f>
        <v/>
      </c>
      <c r="BG57" s="1493"/>
      <c r="BH57" s="1493"/>
    </row>
    <row r="58" spans="1:60" ht="30" customHeight="1">
      <c r="A58" s="1241">
        <v>12</v>
      </c>
      <c r="B58" s="1272" t="str">
        <f>IF(基本情報入力シート!C65="","",基本情報入力シート!C65)</f>
        <v/>
      </c>
      <c r="C58" s="1261"/>
      <c r="D58" s="1261"/>
      <c r="E58" s="1261"/>
      <c r="F58" s="1262"/>
      <c r="G58" s="1266" t="str">
        <f>IF(基本情報入力シート!M65="","",基本情報入力シート!M65)</f>
        <v/>
      </c>
      <c r="H58" s="1266" t="str">
        <f>IF(基本情報入力シート!R65="","",基本情報入力シート!R65)</f>
        <v/>
      </c>
      <c r="I58" s="1266" t="str">
        <f>IF(基本情報入力シート!W65="","",基本情報入力シート!W65)</f>
        <v/>
      </c>
      <c r="J58" s="1372" t="str">
        <f>IF(基本情報入力シート!X65="","",基本情報入力シート!X65)</f>
        <v/>
      </c>
      <c r="K58" s="1266" t="str">
        <f>IF(基本情報入力シート!Y65="","",基本情報入力シート!Y65)</f>
        <v/>
      </c>
      <c r="L58" s="1451" t="str">
        <f>IF(基本情報入力シート!AB65="","",基本情報入力シート!AB65)</f>
        <v/>
      </c>
      <c r="M58" s="1453" t="str">
        <f>IF(基本情報入力シート!AC65="","",基本情報入力シート!AC65)</f>
        <v/>
      </c>
      <c r="N58" s="647" t="str">
        <f>IF('別紙様式2-2（４・５月分）'!Q47="","",'別紙様式2-2（４・５月分）'!Q47)</f>
        <v/>
      </c>
      <c r="O58" s="1366" t="str">
        <f>IF(SUM('別紙様式2-2（４・５月分）'!R47:R49)=0,"",SUM('別紙様式2-2（４・５月分）'!R47:R49))</f>
        <v/>
      </c>
      <c r="P58" s="1380" t="str">
        <f>IFERROR(VLOOKUP('別紙様式2-2（４・５月分）'!AR47,【参考】数式用!$AT$5:$AU$22,2,FALSE),"")</f>
        <v/>
      </c>
      <c r="Q58" s="1381"/>
      <c r="R58" s="1382"/>
      <c r="S58" s="1392" t="str">
        <f>IFERROR(VLOOKUP(K58,【参考】数式用!$A$5:$AB$27,MATCH(P58,【参考】数式用!$B$4:$AB$4,0)+1,0),"")</f>
        <v/>
      </c>
      <c r="T58" s="1413" t="s">
        <v>2258</v>
      </c>
      <c r="U58" s="1562" t="str">
        <f>IF('別紙様式2-3（６月以降分）'!U58="","",'別紙様式2-3（６月以降分）'!U58)</f>
        <v/>
      </c>
      <c r="V58" s="1457" t="str">
        <f>IFERROR(VLOOKUP(K58,【参考】数式用!$A$5:$AB$27,MATCH(U58,【参考】数式用!$B$4:$AB$4,0)+1,0),"")</f>
        <v/>
      </c>
      <c r="W58" s="1350" t="s">
        <v>19</v>
      </c>
      <c r="X58" s="1534">
        <f>'別紙様式2-3（６月以降分）'!X58</f>
        <v>6</v>
      </c>
      <c r="Y58" s="1354" t="s">
        <v>10</v>
      </c>
      <c r="Z58" s="1534">
        <f>'別紙様式2-3（６月以降分）'!Z58</f>
        <v>6</v>
      </c>
      <c r="AA58" s="1354" t="s">
        <v>45</v>
      </c>
      <c r="AB58" s="1534">
        <f>'別紙様式2-3（６月以降分）'!AB58</f>
        <v>7</v>
      </c>
      <c r="AC58" s="1354" t="s">
        <v>10</v>
      </c>
      <c r="AD58" s="1534">
        <f>'別紙様式2-3（６月以降分）'!AD58</f>
        <v>3</v>
      </c>
      <c r="AE58" s="1354" t="s">
        <v>2172</v>
      </c>
      <c r="AF58" s="1354" t="s">
        <v>24</v>
      </c>
      <c r="AG58" s="1354">
        <f>IF(X58&gt;=1,(AB58*12+AD58)-(X58*12+Z58)+1,"")</f>
        <v>10</v>
      </c>
      <c r="AH58" s="1360" t="s">
        <v>38</v>
      </c>
      <c r="AI58" s="1481" t="str">
        <f>'別紙様式2-3（６月以降分）'!AI58</f>
        <v/>
      </c>
      <c r="AJ58" s="1542" t="str">
        <f>'別紙様式2-3（６月以降分）'!AJ58</f>
        <v/>
      </c>
      <c r="AK58" s="1538">
        <f>'別紙様式2-3（６月以降分）'!AK58</f>
        <v>0</v>
      </c>
      <c r="AL58" s="1540" t="str">
        <f>IF('別紙様式2-3（６月以降分）'!AL58="","",'別紙様式2-3（６月以降分）'!AL58)</f>
        <v/>
      </c>
      <c r="AM58" s="1571">
        <f>'別紙様式2-3（６月以降分）'!AM58</f>
        <v>0</v>
      </c>
      <c r="AN58" s="1573" t="str">
        <f>IF('別紙様式2-3（６月以降分）'!AN58="","",'別紙様式2-3（６月以降分）'!AN58)</f>
        <v/>
      </c>
      <c r="AO58" s="1403" t="str">
        <f>IF('別紙様式2-3（６月以降分）'!AO58="","",'別紙様式2-3（６月以降分）'!AO58)</f>
        <v/>
      </c>
      <c r="AP58" s="1502" t="str">
        <f>IF('別紙様式2-3（６月以降分）'!AP58="","",'別紙様式2-3（６月以降分）'!AP58)</f>
        <v/>
      </c>
      <c r="AQ58" s="1403" t="str">
        <f>IF('別紙様式2-3（６月以降分）'!AQ58="","",'別紙様式2-3（６月以降分）'!AQ58)</f>
        <v/>
      </c>
      <c r="AR58" s="1583" t="str">
        <f>IF('別紙様式2-3（６月以降分）'!AR58="","",'別紙様式2-3（６月以降分）'!AR58)</f>
        <v/>
      </c>
      <c r="AS58" s="1536" t="str">
        <f>IF('別紙様式2-3（６月以降分）'!AS58="","",'別紙様式2-3（６月以降分）'!AS58)</f>
        <v/>
      </c>
      <c r="AT58" s="667" t="str">
        <f t="shared" ref="AT58" si="47">IF(AV60="","",IF(V60&lt;V58,"！加算の要件上は問題ありませんが、令和６年度当初の新加算の加算率と比較して、移行後の加算率が下がる計画になっています。",""))</f>
        <v/>
      </c>
      <c r="AU58" s="674"/>
      <c r="AV58" s="1233"/>
      <c r="AW58" s="652" t="str">
        <f>IF('別紙様式2-2（４・５月分）'!O47="","",'別紙様式2-2（４・５月分）'!O47)</f>
        <v/>
      </c>
      <c r="AX58" s="1507" t="str">
        <f>IF(SUM('別紙様式2-2（４・５月分）'!P47:P49)=0,"",SUM('別紙様式2-2（４・５月分）'!P47:P49))</f>
        <v/>
      </c>
      <c r="AY58" s="1589" t="str">
        <f>IFERROR(VLOOKUP(K58,【参考】数式用!$AJ$2:$AK$24,2,FALSE),"")</f>
        <v/>
      </c>
      <c r="AZ58" s="584"/>
      <c r="BE58" s="428"/>
      <c r="BF58" s="1493" t="str">
        <f>G58</f>
        <v/>
      </c>
      <c r="BG58" s="1493"/>
      <c r="BH58" s="1493"/>
    </row>
    <row r="59" spans="1:60" ht="15" customHeight="1">
      <c r="A59" s="1226"/>
      <c r="B59" s="1272"/>
      <c r="C59" s="1261"/>
      <c r="D59" s="1261"/>
      <c r="E59" s="1261"/>
      <c r="F59" s="1262"/>
      <c r="G59" s="1266"/>
      <c r="H59" s="1266"/>
      <c r="I59" s="1266"/>
      <c r="J59" s="1372"/>
      <c r="K59" s="1266"/>
      <c r="L59" s="1451"/>
      <c r="M59" s="1453"/>
      <c r="N59" s="1370" t="str">
        <f>IF('別紙様式2-2（４・５月分）'!Q48="","",'別紙様式2-2（４・５月分）'!Q48)</f>
        <v/>
      </c>
      <c r="O59" s="1367"/>
      <c r="P59" s="1383"/>
      <c r="Q59" s="1384"/>
      <c r="R59" s="1385"/>
      <c r="S59" s="1393"/>
      <c r="T59" s="1414"/>
      <c r="U59" s="1563"/>
      <c r="V59" s="1458"/>
      <c r="W59" s="1351"/>
      <c r="X59" s="1535"/>
      <c r="Y59" s="1355"/>
      <c r="Z59" s="1535"/>
      <c r="AA59" s="1355"/>
      <c r="AB59" s="1535"/>
      <c r="AC59" s="1355"/>
      <c r="AD59" s="1535"/>
      <c r="AE59" s="1355"/>
      <c r="AF59" s="1355"/>
      <c r="AG59" s="1355"/>
      <c r="AH59" s="1361"/>
      <c r="AI59" s="1482"/>
      <c r="AJ59" s="1543"/>
      <c r="AK59" s="1539"/>
      <c r="AL59" s="1541"/>
      <c r="AM59" s="1572"/>
      <c r="AN59" s="1574"/>
      <c r="AO59" s="1404"/>
      <c r="AP59" s="1533"/>
      <c r="AQ59" s="1404"/>
      <c r="AR59" s="1584"/>
      <c r="AS59" s="1537"/>
      <c r="AT59" s="1532" t="str">
        <f t="shared" ref="AT59" si="48">IF(AV60="","",IF(OR(AB60="",AB60&lt;&gt;7,AD60="",AD60&lt;&gt;3),"！算定期間の終わりが令和７年３月になっていません。年度内の廃止予定等がなければ、算定対象月を令和７年３月にしてください。",""))</f>
        <v/>
      </c>
      <c r="AU59" s="674"/>
      <c r="AV59" s="1493"/>
      <c r="AW59" s="1518" t="str">
        <f>IF('別紙様式2-2（４・５月分）'!O48="","",'別紙様式2-2（４・５月分）'!O48)</f>
        <v/>
      </c>
      <c r="AX59" s="1507"/>
      <c r="AY59" s="1589"/>
      <c r="AZ59" s="521"/>
      <c r="BE59" s="428"/>
      <c r="BF59" s="1493" t="str">
        <f>G58</f>
        <v/>
      </c>
      <c r="BG59" s="1493"/>
      <c r="BH59" s="1493"/>
    </row>
    <row r="60" spans="1:60" ht="15" customHeight="1">
      <c r="A60" s="1240"/>
      <c r="B60" s="1272"/>
      <c r="C60" s="1261"/>
      <c r="D60" s="1261"/>
      <c r="E60" s="1261"/>
      <c r="F60" s="1262"/>
      <c r="G60" s="1266"/>
      <c r="H60" s="1266"/>
      <c r="I60" s="1266"/>
      <c r="J60" s="1372"/>
      <c r="K60" s="1266"/>
      <c r="L60" s="1451"/>
      <c r="M60" s="1453"/>
      <c r="N60" s="1371"/>
      <c r="O60" s="1368"/>
      <c r="P60" s="1390" t="s">
        <v>2179</v>
      </c>
      <c r="Q60" s="1504" t="str">
        <f>IFERROR(VLOOKUP('別紙様式2-2（４・５月分）'!AR47,【参考】数式用!$AT$5:$AV$22,3,FALSE),"")</f>
        <v/>
      </c>
      <c r="R60" s="1388" t="s">
        <v>2190</v>
      </c>
      <c r="S60" s="1394" t="str">
        <f>IFERROR(VLOOKUP(K58,【参考】数式用!$A$5:$AB$27,MATCH(Q60,【参考】数式用!$B$4:$AB$4,0)+1,0),"")</f>
        <v/>
      </c>
      <c r="T60" s="1459" t="s">
        <v>2267</v>
      </c>
      <c r="U60" s="1569"/>
      <c r="V60" s="1463" t="str">
        <f>IFERROR(VLOOKUP(K58,【参考】数式用!$A$5:$AB$27,MATCH(U60,【参考】数式用!$B$4:$AB$4,0)+1,0),"")</f>
        <v/>
      </c>
      <c r="W60" s="1465" t="s">
        <v>19</v>
      </c>
      <c r="X60" s="1564"/>
      <c r="Y60" s="1407" t="s">
        <v>10</v>
      </c>
      <c r="Z60" s="1564"/>
      <c r="AA60" s="1407" t="s">
        <v>45</v>
      </c>
      <c r="AB60" s="1564"/>
      <c r="AC60" s="1407" t="s">
        <v>10</v>
      </c>
      <c r="AD60" s="1564"/>
      <c r="AE60" s="1407" t="s">
        <v>2172</v>
      </c>
      <c r="AF60" s="1407" t="s">
        <v>24</v>
      </c>
      <c r="AG60" s="1407" t="str">
        <f>IF(X60&gt;=1,(AB60*12+AD60)-(X60*12+Z60)+1,"")</f>
        <v/>
      </c>
      <c r="AH60" s="1409" t="s">
        <v>38</v>
      </c>
      <c r="AI60" s="1411" t="str">
        <f t="shared" ref="AI60" si="49">IFERROR(ROUNDDOWN(ROUND(L58*V60,0)*M58,0)*AG60,"")</f>
        <v/>
      </c>
      <c r="AJ60" s="1577" t="str">
        <f>IFERROR(ROUNDDOWN(ROUND((L58*(V60-AX58)),0)*M58,0)*AG60,"")</f>
        <v/>
      </c>
      <c r="AK60" s="1494" t="str">
        <f>IFERROR(ROUNDDOWN(ROUNDDOWN(ROUND(L58*VLOOKUP(K58,【参考】数式用!$A$5:$AB$27,MATCH("新加算Ⅳ",【参考】数式用!$B$4:$AB$4,0)+1,0),0)*M58,0)*AG60*0.5,0),"")</f>
        <v/>
      </c>
      <c r="AL60" s="1579"/>
      <c r="AM60" s="1585" t="str">
        <f>IFERROR(IF('別紙様式2-2（４・５月分）'!Q49="ベア加算","", IF(OR(U60="新加算Ⅰ",U60="新加算Ⅱ",U60="新加算Ⅲ",U60="新加算Ⅳ"),ROUNDDOWN(ROUND(L58*VLOOKUP(K58,【参考】数式用!$A$5:$I$27,MATCH("ベア加算",【参考】数式用!$B$4:$I$4,0)+1,0),0)*M58,0)*AG60,"")),"")</f>
        <v/>
      </c>
      <c r="AN60" s="1548"/>
      <c r="AO60" s="1554"/>
      <c r="AP60" s="1552"/>
      <c r="AQ60" s="1554"/>
      <c r="AR60" s="1556"/>
      <c r="AS60" s="1558"/>
      <c r="AT60" s="1532"/>
      <c r="AU60" s="542"/>
      <c r="AV60" s="1493" t="str">
        <f t="shared" ref="AV60" si="50">IF(OR(AB58&lt;&gt;7,AD58&lt;&gt;3),"V列に色付け","")</f>
        <v/>
      </c>
      <c r="AW60" s="1518"/>
      <c r="AX60" s="1507"/>
      <c r="AY60" s="671"/>
      <c r="AZ60" s="1321" t="str">
        <f>IF(AM60&lt;&gt;"",IF(AN60="○","入力済","未入力"),"")</f>
        <v/>
      </c>
      <c r="BA60" s="1321"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321" t="str">
        <f>IF(OR(U60="新加算Ⅴ（７）",U60="新加算Ⅴ（９）",U60="新加算Ⅴ（10）",U60="新加算Ⅴ（12）",U60="新加算Ⅴ（13）",U60="新加算Ⅴ（14）"),IF(OR(AP60="○",AP60="令和６年度中に満たす"),"入力済","未入力"),"")</f>
        <v/>
      </c>
      <c r="BC60" s="1321" t="str">
        <f>IF(OR(U60="新加算Ⅰ",U60="新加算Ⅱ",U60="新加算Ⅲ",U60="新加算Ⅴ（１）",U60="新加算Ⅴ（３）",U60="新加算Ⅴ（８）"),IF(OR(AQ60="○",AQ60="令和６年度中に満たす"),"入力済","未入力"),"")</f>
        <v/>
      </c>
      <c r="BD60" s="1588"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493" t="str">
        <f>IF(OR(U60="新加算Ⅰ",U60="新加算Ⅴ（１）",U60="新加算Ⅴ（２）",U60="新加算Ⅴ（５）",U60="新加算Ⅴ（７）",U60="新加算Ⅴ（10）"),IF(AS60="","未入力","入力済"),"")</f>
        <v/>
      </c>
      <c r="BF60" s="1493" t="str">
        <f>G58</f>
        <v/>
      </c>
      <c r="BG60" s="1493"/>
      <c r="BH60" s="1493"/>
    </row>
    <row r="61" spans="1:60" ht="30" customHeight="1" thickBot="1">
      <c r="A61" s="1227"/>
      <c r="B61" s="1376"/>
      <c r="C61" s="1377"/>
      <c r="D61" s="1377"/>
      <c r="E61" s="1377"/>
      <c r="F61" s="1378"/>
      <c r="G61" s="1267"/>
      <c r="H61" s="1267"/>
      <c r="I61" s="1267"/>
      <c r="J61" s="1373"/>
      <c r="K61" s="1267"/>
      <c r="L61" s="1452"/>
      <c r="M61" s="1454"/>
      <c r="N61" s="650" t="str">
        <f>IF('別紙様式2-2（４・５月分）'!Q49="","",'別紙様式2-2（４・５月分）'!Q49)</f>
        <v/>
      </c>
      <c r="O61" s="1369"/>
      <c r="P61" s="1391"/>
      <c r="Q61" s="1505"/>
      <c r="R61" s="1389"/>
      <c r="S61" s="1395"/>
      <c r="T61" s="1460"/>
      <c r="U61" s="1570"/>
      <c r="V61" s="1464"/>
      <c r="W61" s="1466"/>
      <c r="X61" s="1565"/>
      <c r="Y61" s="1408"/>
      <c r="Z61" s="1565"/>
      <c r="AA61" s="1408"/>
      <c r="AB61" s="1565"/>
      <c r="AC61" s="1408"/>
      <c r="AD61" s="1565"/>
      <c r="AE61" s="1408"/>
      <c r="AF61" s="1408"/>
      <c r="AG61" s="1408"/>
      <c r="AH61" s="1410"/>
      <c r="AI61" s="1412"/>
      <c r="AJ61" s="1578"/>
      <c r="AK61" s="1495"/>
      <c r="AL61" s="1580"/>
      <c r="AM61" s="1586"/>
      <c r="AN61" s="1549"/>
      <c r="AO61" s="1555"/>
      <c r="AP61" s="1553"/>
      <c r="AQ61" s="1555"/>
      <c r="AR61" s="1557"/>
      <c r="AS61" s="1559"/>
      <c r="AT61" s="672" t="str">
        <f t="shared" ref="AT61" si="51">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42"/>
      <c r="AV61" s="1493"/>
      <c r="AW61" s="652" t="str">
        <f>IF('別紙様式2-2（４・５月分）'!O49="","",'別紙様式2-2（４・５月分）'!O49)</f>
        <v/>
      </c>
      <c r="AX61" s="1507"/>
      <c r="AY61" s="673"/>
      <c r="AZ61" s="1321" t="str">
        <f>IF(OR(U61="新加算Ⅰ",U61="新加算Ⅱ",U61="新加算Ⅲ",U61="新加算Ⅳ",U61="新加算Ⅴ（１）",U61="新加算Ⅴ（２）",U61="新加算Ⅴ（３）",U61="新加算ⅠⅤ（４）",U61="新加算Ⅴ（５）",U61="新加算Ⅴ（６）",U61="新加算Ⅴ（８）",U61="新加算Ⅴ（11）"),IF(AJ61="○","","未入力"),"")</f>
        <v/>
      </c>
      <c r="BA61" s="1321" t="str">
        <f>IF(OR(V61="新加算Ⅰ",V61="新加算Ⅱ",V61="新加算Ⅲ",V61="新加算Ⅳ",V61="新加算Ⅴ（１）",V61="新加算Ⅴ（２）",V61="新加算Ⅴ（３）",V61="新加算ⅠⅤ（４）",V61="新加算Ⅴ（５）",V61="新加算Ⅴ（６）",V61="新加算Ⅴ（８）",V61="新加算Ⅴ（11）"),IF(AK61="○","","未入力"),"")</f>
        <v/>
      </c>
      <c r="BB61" s="1321" t="str">
        <f>IF(OR(V61="新加算Ⅴ（７）",V61="新加算Ⅴ（９）",V61="新加算Ⅴ（10）",V61="新加算Ⅴ（12）",V61="新加算Ⅴ（13）",V61="新加算Ⅴ（14）"),IF(AL61="○","","未入力"),"")</f>
        <v/>
      </c>
      <c r="BC61" s="1321" t="str">
        <f>IF(OR(V61="新加算Ⅰ",V61="新加算Ⅱ",V61="新加算Ⅲ",V61="新加算Ⅴ（１）",V61="新加算Ⅴ（３）",V61="新加算Ⅴ（８）"),IF(AM61="○","","未入力"),"")</f>
        <v/>
      </c>
      <c r="BD61" s="1588"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493" t="str">
        <f>IF(AND(U61&lt;&gt;"（参考）令和７年度の移行予定",OR(V61="新加算Ⅰ",V61="新加算Ⅴ（１）",V61="新加算Ⅴ（２）",V61="新加算Ⅴ（５）",V61="新加算Ⅴ（７）",V61="新加算Ⅴ（10）")),IF(AO61="","未入力",IF(AO61="いずれも取得していない","要件を満たさない","")),"")</f>
        <v/>
      </c>
      <c r="BF61" s="1493" t="str">
        <f>G58</f>
        <v/>
      </c>
      <c r="BG61" s="1493"/>
      <c r="BH61" s="1493"/>
    </row>
    <row r="62" spans="1:60" ht="30" customHeight="1">
      <c r="A62" s="1225">
        <v>13</v>
      </c>
      <c r="B62" s="1271" t="str">
        <f>IF(基本情報入力シート!C66="","",基本情報入力シート!C66)</f>
        <v/>
      </c>
      <c r="C62" s="1259"/>
      <c r="D62" s="1259"/>
      <c r="E62" s="1259"/>
      <c r="F62" s="1260"/>
      <c r="G62" s="1265" t="str">
        <f>IF(基本情報入力シート!M66="","",基本情報入力シート!M66)</f>
        <v/>
      </c>
      <c r="H62" s="1265" t="str">
        <f>IF(基本情報入力シート!R66="","",基本情報入力シート!R66)</f>
        <v/>
      </c>
      <c r="I62" s="1265" t="str">
        <f>IF(基本情報入力シート!W66="","",基本情報入力シート!W66)</f>
        <v/>
      </c>
      <c r="J62" s="1379" t="str">
        <f>IF(基本情報入力シート!X66="","",基本情報入力シート!X66)</f>
        <v/>
      </c>
      <c r="K62" s="1265" t="str">
        <f>IF(基本情報入力シート!Y66="","",基本情報入力シート!Y66)</f>
        <v/>
      </c>
      <c r="L62" s="1450" t="str">
        <f>IF(基本情報入力シート!AB66="","",基本情報入力シート!AB66)</f>
        <v/>
      </c>
      <c r="M62" s="1447" t="str">
        <f>IF(基本情報入力シート!AC66="","",基本情報入力シート!AC66)</f>
        <v/>
      </c>
      <c r="N62" s="647" t="str">
        <f>IF('別紙様式2-2（４・５月分）'!Q50="","",'別紙様式2-2（４・５月分）'!Q50)</f>
        <v/>
      </c>
      <c r="O62" s="1366" t="str">
        <f>IF(SUM('別紙様式2-2（４・５月分）'!R50:R52)=0,"",SUM('別紙様式2-2（４・５月分）'!R50:R52))</f>
        <v/>
      </c>
      <c r="P62" s="1380" t="str">
        <f>IFERROR(VLOOKUP('別紙様式2-2（４・５月分）'!AR50,【参考】数式用!$AT$5:$AU$22,2,FALSE),"")</f>
        <v/>
      </c>
      <c r="Q62" s="1381"/>
      <c r="R62" s="1382"/>
      <c r="S62" s="1392" t="str">
        <f>IFERROR(VLOOKUP(K62,【参考】数式用!$A$5:$AB$27,MATCH(P62,【参考】数式用!$B$4:$AB$4,0)+1,0),"")</f>
        <v/>
      </c>
      <c r="T62" s="1413" t="s">
        <v>2258</v>
      </c>
      <c r="U62" s="1562" t="str">
        <f>IF('別紙様式2-3（６月以降分）'!U62="","",'別紙様式2-3（６月以降分）'!U62)</f>
        <v/>
      </c>
      <c r="V62" s="1457" t="str">
        <f>IFERROR(VLOOKUP(K62,【参考】数式用!$A$5:$AB$27,MATCH(U62,【参考】数式用!$B$4:$AB$4,0)+1,0),"")</f>
        <v/>
      </c>
      <c r="W62" s="1350" t="s">
        <v>19</v>
      </c>
      <c r="X62" s="1534">
        <f>'別紙様式2-3（６月以降分）'!X62</f>
        <v>6</v>
      </c>
      <c r="Y62" s="1354" t="s">
        <v>10</v>
      </c>
      <c r="Z62" s="1534">
        <f>'別紙様式2-3（６月以降分）'!Z62</f>
        <v>6</v>
      </c>
      <c r="AA62" s="1354" t="s">
        <v>45</v>
      </c>
      <c r="AB62" s="1534">
        <f>'別紙様式2-3（６月以降分）'!AB62</f>
        <v>7</v>
      </c>
      <c r="AC62" s="1354" t="s">
        <v>10</v>
      </c>
      <c r="AD62" s="1534">
        <f>'別紙様式2-3（６月以降分）'!AD62</f>
        <v>3</v>
      </c>
      <c r="AE62" s="1354" t="s">
        <v>2172</v>
      </c>
      <c r="AF62" s="1354" t="s">
        <v>24</v>
      </c>
      <c r="AG62" s="1354">
        <f>IF(X62&gt;=1,(AB62*12+AD62)-(X62*12+Z62)+1,"")</f>
        <v>10</v>
      </c>
      <c r="AH62" s="1360" t="s">
        <v>38</v>
      </c>
      <c r="AI62" s="1481" t="str">
        <f>'別紙様式2-3（６月以降分）'!AI62</f>
        <v/>
      </c>
      <c r="AJ62" s="1542" t="str">
        <f>'別紙様式2-3（６月以降分）'!AJ62</f>
        <v/>
      </c>
      <c r="AK62" s="1538">
        <f>'別紙様式2-3（６月以降分）'!AK62</f>
        <v>0</v>
      </c>
      <c r="AL62" s="1540" t="str">
        <f>IF('別紙様式2-3（６月以降分）'!AL62="","",'別紙様式2-3（６月以降分）'!AL62)</f>
        <v/>
      </c>
      <c r="AM62" s="1571">
        <f>'別紙様式2-3（６月以降分）'!AM62</f>
        <v>0</v>
      </c>
      <c r="AN62" s="1573" t="str">
        <f>IF('別紙様式2-3（６月以降分）'!AN62="","",'別紙様式2-3（６月以降分）'!AN62)</f>
        <v/>
      </c>
      <c r="AO62" s="1403" t="str">
        <f>IF('別紙様式2-3（６月以降分）'!AO62="","",'別紙様式2-3（６月以降分）'!AO62)</f>
        <v/>
      </c>
      <c r="AP62" s="1502" t="str">
        <f>IF('別紙様式2-3（６月以降分）'!AP62="","",'別紙様式2-3（６月以降分）'!AP62)</f>
        <v/>
      </c>
      <c r="AQ62" s="1403" t="str">
        <f>IF('別紙様式2-3（６月以降分）'!AQ62="","",'別紙様式2-3（６月以降分）'!AQ62)</f>
        <v/>
      </c>
      <c r="AR62" s="1583" t="str">
        <f>IF('別紙様式2-3（６月以降分）'!AR62="","",'別紙様式2-3（６月以降分）'!AR62)</f>
        <v/>
      </c>
      <c r="AS62" s="1536" t="str">
        <f>IF('別紙様式2-3（６月以降分）'!AS62="","",'別紙様式2-3（６月以降分）'!AS62)</f>
        <v/>
      </c>
      <c r="AT62" s="667" t="str">
        <f t="shared" ref="AT62" si="52">IF(AV64="","",IF(V64&lt;V62,"！加算の要件上は問題ありませんが、令和６年度当初の新加算の加算率と比較して、移行後の加算率が下がる計画になっています。",""))</f>
        <v/>
      </c>
      <c r="AU62" s="674"/>
      <c r="AV62" s="1233"/>
      <c r="AW62" s="652" t="str">
        <f>IF('別紙様式2-2（４・５月分）'!O50="","",'別紙様式2-2（４・５月分）'!O50)</f>
        <v/>
      </c>
      <c r="AX62" s="1507" t="str">
        <f>IF(SUM('別紙様式2-2（４・５月分）'!P50:P52)=0,"",SUM('別紙様式2-2（４・５月分）'!P50:P52))</f>
        <v/>
      </c>
      <c r="AY62" s="1590" t="str">
        <f>IFERROR(VLOOKUP(K62,【参考】数式用!$AJ$2:$AK$24,2,FALSE),"")</f>
        <v/>
      </c>
      <c r="AZ62" s="584"/>
      <c r="BE62" s="428"/>
      <c r="BF62" s="1493" t="str">
        <f>G62</f>
        <v/>
      </c>
      <c r="BG62" s="1493"/>
      <c r="BH62" s="1493"/>
    </row>
    <row r="63" spans="1:60" ht="15" customHeight="1">
      <c r="A63" s="1226"/>
      <c r="B63" s="1272"/>
      <c r="C63" s="1261"/>
      <c r="D63" s="1261"/>
      <c r="E63" s="1261"/>
      <c r="F63" s="1262"/>
      <c r="G63" s="1266"/>
      <c r="H63" s="1266"/>
      <c r="I63" s="1266"/>
      <c r="J63" s="1372"/>
      <c r="K63" s="1266"/>
      <c r="L63" s="1451"/>
      <c r="M63" s="1448"/>
      <c r="N63" s="1370" t="str">
        <f>IF('別紙様式2-2（４・５月分）'!Q51="","",'別紙様式2-2（４・５月分）'!Q51)</f>
        <v/>
      </c>
      <c r="O63" s="1367"/>
      <c r="P63" s="1383"/>
      <c r="Q63" s="1384"/>
      <c r="R63" s="1385"/>
      <c r="S63" s="1393"/>
      <c r="T63" s="1414"/>
      <c r="U63" s="1563"/>
      <c r="V63" s="1458"/>
      <c r="W63" s="1351"/>
      <c r="X63" s="1535"/>
      <c r="Y63" s="1355"/>
      <c r="Z63" s="1535"/>
      <c r="AA63" s="1355"/>
      <c r="AB63" s="1535"/>
      <c r="AC63" s="1355"/>
      <c r="AD63" s="1535"/>
      <c r="AE63" s="1355"/>
      <c r="AF63" s="1355"/>
      <c r="AG63" s="1355"/>
      <c r="AH63" s="1361"/>
      <c r="AI63" s="1482"/>
      <c r="AJ63" s="1543"/>
      <c r="AK63" s="1539"/>
      <c r="AL63" s="1541"/>
      <c r="AM63" s="1572"/>
      <c r="AN63" s="1574"/>
      <c r="AO63" s="1404"/>
      <c r="AP63" s="1533"/>
      <c r="AQ63" s="1404"/>
      <c r="AR63" s="1584"/>
      <c r="AS63" s="1537"/>
      <c r="AT63" s="1532" t="str">
        <f t="shared" ref="AT63" si="53">IF(AV64="","",IF(OR(AB64="",AB64&lt;&gt;7,AD64="",AD64&lt;&gt;3),"！算定期間の終わりが令和７年３月になっていません。年度内の廃止予定等がなければ、算定対象月を令和７年３月にしてください。",""))</f>
        <v/>
      </c>
      <c r="AU63" s="674"/>
      <c r="AV63" s="1493"/>
      <c r="AW63" s="1518" t="str">
        <f>IF('別紙様式2-2（４・５月分）'!O51="","",'別紙様式2-2（４・５月分）'!O51)</f>
        <v/>
      </c>
      <c r="AX63" s="1507"/>
      <c r="AY63" s="1589"/>
      <c r="AZ63" s="521"/>
      <c r="BE63" s="428"/>
      <c r="BF63" s="1493" t="str">
        <f>G62</f>
        <v/>
      </c>
      <c r="BG63" s="1493"/>
      <c r="BH63" s="1493"/>
    </row>
    <row r="64" spans="1:60" ht="15" customHeight="1">
      <c r="A64" s="1240"/>
      <c r="B64" s="1272"/>
      <c r="C64" s="1261"/>
      <c r="D64" s="1261"/>
      <c r="E64" s="1261"/>
      <c r="F64" s="1262"/>
      <c r="G64" s="1266"/>
      <c r="H64" s="1266"/>
      <c r="I64" s="1266"/>
      <c r="J64" s="1372"/>
      <c r="K64" s="1266"/>
      <c r="L64" s="1451"/>
      <c r="M64" s="1448"/>
      <c r="N64" s="1371"/>
      <c r="O64" s="1368"/>
      <c r="P64" s="1390" t="s">
        <v>2179</v>
      </c>
      <c r="Q64" s="1504" t="str">
        <f>IFERROR(VLOOKUP('別紙様式2-2（４・５月分）'!AR50,【参考】数式用!$AT$5:$AV$22,3,FALSE),"")</f>
        <v/>
      </c>
      <c r="R64" s="1388" t="s">
        <v>2190</v>
      </c>
      <c r="S64" s="1396" t="str">
        <f>IFERROR(VLOOKUP(K62,【参考】数式用!$A$5:$AB$27,MATCH(Q64,【参考】数式用!$B$4:$AB$4,0)+1,0),"")</f>
        <v/>
      </c>
      <c r="T64" s="1459" t="s">
        <v>2267</v>
      </c>
      <c r="U64" s="1569"/>
      <c r="V64" s="1463" t="str">
        <f>IFERROR(VLOOKUP(K62,【参考】数式用!$A$5:$AB$27,MATCH(U64,【参考】数式用!$B$4:$AB$4,0)+1,0),"")</f>
        <v/>
      </c>
      <c r="W64" s="1465" t="s">
        <v>19</v>
      </c>
      <c r="X64" s="1564"/>
      <c r="Y64" s="1407" t="s">
        <v>10</v>
      </c>
      <c r="Z64" s="1564"/>
      <c r="AA64" s="1407" t="s">
        <v>45</v>
      </c>
      <c r="AB64" s="1564"/>
      <c r="AC64" s="1407" t="s">
        <v>10</v>
      </c>
      <c r="AD64" s="1564"/>
      <c r="AE64" s="1407" t="s">
        <v>2172</v>
      </c>
      <c r="AF64" s="1407" t="s">
        <v>24</v>
      </c>
      <c r="AG64" s="1407" t="str">
        <f>IF(X64&gt;=1,(AB64*12+AD64)-(X64*12+Z64)+1,"")</f>
        <v/>
      </c>
      <c r="AH64" s="1409" t="s">
        <v>38</v>
      </c>
      <c r="AI64" s="1411" t="str">
        <f t="shared" ref="AI64" si="54">IFERROR(ROUNDDOWN(ROUND(L62*V64,0)*M62,0)*AG64,"")</f>
        <v/>
      </c>
      <c r="AJ64" s="1577" t="str">
        <f>IFERROR(ROUNDDOWN(ROUND((L62*(V64-AX62)),0)*M62,0)*AG64,"")</f>
        <v/>
      </c>
      <c r="AK64" s="1494" t="str">
        <f>IFERROR(ROUNDDOWN(ROUNDDOWN(ROUND(L62*VLOOKUP(K62,【参考】数式用!$A$5:$AB$27,MATCH("新加算Ⅳ",【参考】数式用!$B$4:$AB$4,0)+1,0),0)*M62,0)*AG64*0.5,0),"")</f>
        <v/>
      </c>
      <c r="AL64" s="1579"/>
      <c r="AM64" s="1585" t="str">
        <f>IFERROR(IF('別紙様式2-2（４・５月分）'!Q52="ベア加算","", IF(OR(U64="新加算Ⅰ",U64="新加算Ⅱ",U64="新加算Ⅲ",U64="新加算Ⅳ"),ROUNDDOWN(ROUND(L62*VLOOKUP(K62,【参考】数式用!$A$5:$I$27,MATCH("ベア加算",【参考】数式用!$B$4:$I$4,0)+1,0),0)*M62,0)*AG64,"")),"")</f>
        <v/>
      </c>
      <c r="AN64" s="1548"/>
      <c r="AO64" s="1554"/>
      <c r="AP64" s="1552"/>
      <c r="AQ64" s="1554"/>
      <c r="AR64" s="1556"/>
      <c r="AS64" s="1558"/>
      <c r="AT64" s="1532"/>
      <c r="AU64" s="542"/>
      <c r="AV64" s="1493" t="str">
        <f t="shared" ref="AV64" si="55">IF(OR(AB62&lt;&gt;7,AD62&lt;&gt;3),"V列に色付け","")</f>
        <v/>
      </c>
      <c r="AW64" s="1518"/>
      <c r="AX64" s="1507"/>
      <c r="AY64" s="671"/>
      <c r="AZ64" s="1321" t="str">
        <f>IF(AM64&lt;&gt;"",IF(AN64="○","入力済","未入力"),"")</f>
        <v/>
      </c>
      <c r="BA64" s="1321"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321" t="str">
        <f>IF(OR(U64="新加算Ⅴ（７）",U64="新加算Ⅴ（９）",U64="新加算Ⅴ（10）",U64="新加算Ⅴ（12）",U64="新加算Ⅴ（13）",U64="新加算Ⅴ（14）"),IF(OR(AP64="○",AP64="令和６年度中に満たす"),"入力済","未入力"),"")</f>
        <v/>
      </c>
      <c r="BC64" s="1321" t="str">
        <f>IF(OR(U64="新加算Ⅰ",U64="新加算Ⅱ",U64="新加算Ⅲ",U64="新加算Ⅴ（１）",U64="新加算Ⅴ（３）",U64="新加算Ⅴ（８）"),IF(OR(AQ64="○",AQ64="令和６年度中に満たす"),"入力済","未入力"),"")</f>
        <v/>
      </c>
      <c r="BD64" s="1588"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493" t="str">
        <f>IF(OR(U64="新加算Ⅰ",U64="新加算Ⅴ（１）",U64="新加算Ⅴ（２）",U64="新加算Ⅴ（５）",U64="新加算Ⅴ（７）",U64="新加算Ⅴ（10）"),IF(AS64="","未入力","入力済"),"")</f>
        <v/>
      </c>
      <c r="BF64" s="1493" t="str">
        <f>G62</f>
        <v/>
      </c>
      <c r="BG64" s="1493"/>
      <c r="BH64" s="1493"/>
    </row>
    <row r="65" spans="1:60" ht="30" customHeight="1" thickBot="1">
      <c r="A65" s="1227"/>
      <c r="B65" s="1376"/>
      <c r="C65" s="1377"/>
      <c r="D65" s="1377"/>
      <c r="E65" s="1377"/>
      <c r="F65" s="1378"/>
      <c r="G65" s="1267"/>
      <c r="H65" s="1267"/>
      <c r="I65" s="1267"/>
      <c r="J65" s="1373"/>
      <c r="K65" s="1267"/>
      <c r="L65" s="1452"/>
      <c r="M65" s="1449"/>
      <c r="N65" s="650" t="str">
        <f>IF('別紙様式2-2（４・５月分）'!Q52="","",'別紙様式2-2（４・５月分）'!Q52)</f>
        <v/>
      </c>
      <c r="O65" s="1369"/>
      <c r="P65" s="1391"/>
      <c r="Q65" s="1505"/>
      <c r="R65" s="1389"/>
      <c r="S65" s="1395"/>
      <c r="T65" s="1460"/>
      <c r="U65" s="1570"/>
      <c r="V65" s="1464"/>
      <c r="W65" s="1466"/>
      <c r="X65" s="1565"/>
      <c r="Y65" s="1408"/>
      <c r="Z65" s="1565"/>
      <c r="AA65" s="1408"/>
      <c r="AB65" s="1565"/>
      <c r="AC65" s="1408"/>
      <c r="AD65" s="1565"/>
      <c r="AE65" s="1408"/>
      <c r="AF65" s="1408"/>
      <c r="AG65" s="1408"/>
      <c r="AH65" s="1410"/>
      <c r="AI65" s="1412"/>
      <c r="AJ65" s="1578"/>
      <c r="AK65" s="1495"/>
      <c r="AL65" s="1580"/>
      <c r="AM65" s="1586"/>
      <c r="AN65" s="1549"/>
      <c r="AO65" s="1555"/>
      <c r="AP65" s="1553"/>
      <c r="AQ65" s="1555"/>
      <c r="AR65" s="1557"/>
      <c r="AS65" s="1559"/>
      <c r="AT65" s="672" t="str">
        <f t="shared" ref="AT65" si="56">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42"/>
      <c r="AV65" s="1493"/>
      <c r="AW65" s="652" t="str">
        <f>IF('別紙様式2-2（４・５月分）'!O52="","",'別紙様式2-2（４・５月分）'!O52)</f>
        <v/>
      </c>
      <c r="AX65" s="1507"/>
      <c r="AY65" s="673"/>
      <c r="AZ65" s="1321" t="str">
        <f>IF(OR(U65="新加算Ⅰ",U65="新加算Ⅱ",U65="新加算Ⅲ",U65="新加算Ⅳ",U65="新加算Ⅴ（１）",U65="新加算Ⅴ（２）",U65="新加算Ⅴ（３）",U65="新加算ⅠⅤ（４）",U65="新加算Ⅴ（５）",U65="新加算Ⅴ（６）",U65="新加算Ⅴ（８）",U65="新加算Ⅴ（11）"),IF(AJ65="○","","未入力"),"")</f>
        <v/>
      </c>
      <c r="BA65" s="1321" t="str">
        <f>IF(OR(V65="新加算Ⅰ",V65="新加算Ⅱ",V65="新加算Ⅲ",V65="新加算Ⅳ",V65="新加算Ⅴ（１）",V65="新加算Ⅴ（２）",V65="新加算Ⅴ（３）",V65="新加算ⅠⅤ（４）",V65="新加算Ⅴ（５）",V65="新加算Ⅴ（６）",V65="新加算Ⅴ（８）",V65="新加算Ⅴ（11）"),IF(AK65="○","","未入力"),"")</f>
        <v/>
      </c>
      <c r="BB65" s="1321" t="str">
        <f>IF(OR(V65="新加算Ⅴ（７）",V65="新加算Ⅴ（９）",V65="新加算Ⅴ（10）",V65="新加算Ⅴ（12）",V65="新加算Ⅴ（13）",V65="新加算Ⅴ（14）"),IF(AL65="○","","未入力"),"")</f>
        <v/>
      </c>
      <c r="BC65" s="1321" t="str">
        <f>IF(OR(V65="新加算Ⅰ",V65="新加算Ⅱ",V65="新加算Ⅲ",V65="新加算Ⅴ（１）",V65="新加算Ⅴ（３）",V65="新加算Ⅴ（８）"),IF(AM65="○","","未入力"),"")</f>
        <v/>
      </c>
      <c r="BD65" s="1588"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493" t="str">
        <f>IF(AND(U65&lt;&gt;"（参考）令和７年度の移行予定",OR(V65="新加算Ⅰ",V65="新加算Ⅴ（１）",V65="新加算Ⅴ（２）",V65="新加算Ⅴ（５）",V65="新加算Ⅴ（７）",V65="新加算Ⅴ（10）")),IF(AO65="","未入力",IF(AO65="いずれも取得していない","要件を満たさない","")),"")</f>
        <v/>
      </c>
      <c r="BF65" s="1493" t="str">
        <f>G62</f>
        <v/>
      </c>
      <c r="BG65" s="1493"/>
      <c r="BH65" s="1493"/>
    </row>
    <row r="66" spans="1:60" ht="30" customHeight="1">
      <c r="A66" s="1241">
        <v>14</v>
      </c>
      <c r="B66" s="1272" t="str">
        <f>IF(基本情報入力シート!C67="","",基本情報入力シート!C67)</f>
        <v/>
      </c>
      <c r="C66" s="1261"/>
      <c r="D66" s="1261"/>
      <c r="E66" s="1261"/>
      <c r="F66" s="1262"/>
      <c r="G66" s="1266" t="str">
        <f>IF(基本情報入力シート!M67="","",基本情報入力シート!M67)</f>
        <v/>
      </c>
      <c r="H66" s="1266" t="str">
        <f>IF(基本情報入力シート!R67="","",基本情報入力シート!R67)</f>
        <v/>
      </c>
      <c r="I66" s="1266" t="str">
        <f>IF(基本情報入力シート!W67="","",基本情報入力シート!W67)</f>
        <v/>
      </c>
      <c r="J66" s="1372" t="str">
        <f>IF(基本情報入力シート!X67="","",基本情報入力シート!X67)</f>
        <v/>
      </c>
      <c r="K66" s="1266" t="str">
        <f>IF(基本情報入力シート!Y67="","",基本情報入力シート!Y67)</f>
        <v/>
      </c>
      <c r="L66" s="1451" t="str">
        <f>IF(基本情報入力シート!AB67="","",基本情報入力シート!AB67)</f>
        <v/>
      </c>
      <c r="M66" s="1453" t="str">
        <f>IF(基本情報入力シート!AC67="","",基本情報入力シート!AC67)</f>
        <v/>
      </c>
      <c r="N66" s="647" t="str">
        <f>IF('別紙様式2-2（４・５月分）'!Q53="","",'別紙様式2-2（４・５月分）'!Q53)</f>
        <v/>
      </c>
      <c r="O66" s="1366" t="str">
        <f>IF(SUM('別紙様式2-2（４・５月分）'!R53:R55)=0,"",SUM('別紙様式2-2（４・５月分）'!R53:R55))</f>
        <v/>
      </c>
      <c r="P66" s="1380" t="str">
        <f>IFERROR(VLOOKUP('別紙様式2-2（４・５月分）'!AR53,【参考】数式用!$AT$5:$AU$22,2,FALSE),"")</f>
        <v/>
      </c>
      <c r="Q66" s="1381"/>
      <c r="R66" s="1382"/>
      <c r="S66" s="1392" t="str">
        <f>IFERROR(VLOOKUP(K66,【参考】数式用!$A$5:$AB$27,MATCH(P66,【参考】数式用!$B$4:$AB$4,0)+1,0),"")</f>
        <v/>
      </c>
      <c r="T66" s="1413" t="s">
        <v>2258</v>
      </c>
      <c r="U66" s="1562" t="str">
        <f>IF('別紙様式2-3（６月以降分）'!U66="","",'別紙様式2-3（６月以降分）'!U66)</f>
        <v/>
      </c>
      <c r="V66" s="1457" t="str">
        <f>IFERROR(VLOOKUP(K66,【参考】数式用!$A$5:$AB$27,MATCH(U66,【参考】数式用!$B$4:$AB$4,0)+1,0),"")</f>
        <v/>
      </c>
      <c r="W66" s="1350" t="s">
        <v>19</v>
      </c>
      <c r="X66" s="1534">
        <f>'別紙様式2-3（６月以降分）'!X66</f>
        <v>6</v>
      </c>
      <c r="Y66" s="1354" t="s">
        <v>10</v>
      </c>
      <c r="Z66" s="1534">
        <f>'別紙様式2-3（６月以降分）'!Z66</f>
        <v>6</v>
      </c>
      <c r="AA66" s="1354" t="s">
        <v>45</v>
      </c>
      <c r="AB66" s="1534">
        <f>'別紙様式2-3（６月以降分）'!AB66</f>
        <v>7</v>
      </c>
      <c r="AC66" s="1354" t="s">
        <v>10</v>
      </c>
      <c r="AD66" s="1534">
        <f>'別紙様式2-3（６月以降分）'!AD66</f>
        <v>3</v>
      </c>
      <c r="AE66" s="1354" t="s">
        <v>2172</v>
      </c>
      <c r="AF66" s="1354" t="s">
        <v>24</v>
      </c>
      <c r="AG66" s="1354">
        <f>IF(X66&gt;=1,(AB66*12+AD66)-(X66*12+Z66)+1,"")</f>
        <v>10</v>
      </c>
      <c r="AH66" s="1360" t="s">
        <v>38</v>
      </c>
      <c r="AI66" s="1481" t="str">
        <f>'別紙様式2-3（６月以降分）'!AI66</f>
        <v/>
      </c>
      <c r="AJ66" s="1542" t="str">
        <f>'別紙様式2-3（６月以降分）'!AJ66</f>
        <v/>
      </c>
      <c r="AK66" s="1538">
        <f>'別紙様式2-3（６月以降分）'!AK66</f>
        <v>0</v>
      </c>
      <c r="AL66" s="1540" t="str">
        <f>IF('別紙様式2-3（６月以降分）'!AL66="","",'別紙様式2-3（６月以降分）'!AL66)</f>
        <v/>
      </c>
      <c r="AM66" s="1571">
        <f>'別紙様式2-3（６月以降分）'!AM66</f>
        <v>0</v>
      </c>
      <c r="AN66" s="1573" t="str">
        <f>IF('別紙様式2-3（６月以降分）'!AN66="","",'別紙様式2-3（６月以降分）'!AN66)</f>
        <v/>
      </c>
      <c r="AO66" s="1403" t="str">
        <f>IF('別紙様式2-3（６月以降分）'!AO66="","",'別紙様式2-3（６月以降分）'!AO66)</f>
        <v/>
      </c>
      <c r="AP66" s="1502" t="str">
        <f>IF('別紙様式2-3（６月以降分）'!AP66="","",'別紙様式2-3（６月以降分）'!AP66)</f>
        <v/>
      </c>
      <c r="AQ66" s="1403" t="str">
        <f>IF('別紙様式2-3（６月以降分）'!AQ66="","",'別紙様式2-3（６月以降分）'!AQ66)</f>
        <v/>
      </c>
      <c r="AR66" s="1583" t="str">
        <f>IF('別紙様式2-3（６月以降分）'!AR66="","",'別紙様式2-3（６月以降分）'!AR66)</f>
        <v/>
      </c>
      <c r="AS66" s="1536" t="str">
        <f>IF('別紙様式2-3（６月以降分）'!AS66="","",'別紙様式2-3（６月以降分）'!AS66)</f>
        <v/>
      </c>
      <c r="AT66" s="667" t="str">
        <f t="shared" ref="AT66" si="57">IF(AV68="","",IF(V68&lt;V66,"！加算の要件上は問題ありませんが、令和６年度当初の新加算の加算率と比較して、移行後の加算率が下がる計画になっています。",""))</f>
        <v/>
      </c>
      <c r="AU66" s="674"/>
      <c r="AV66" s="1233"/>
      <c r="AW66" s="652" t="str">
        <f>IF('別紙様式2-2（４・５月分）'!O53="","",'別紙様式2-2（４・５月分）'!O53)</f>
        <v/>
      </c>
      <c r="AX66" s="1507" t="str">
        <f>IF(SUM('別紙様式2-2（４・５月分）'!P53:P55)=0,"",SUM('別紙様式2-2（４・５月分）'!P53:P55))</f>
        <v/>
      </c>
      <c r="AY66" s="1589" t="str">
        <f>IFERROR(VLOOKUP(K66,【参考】数式用!$AJ$2:$AK$24,2,FALSE),"")</f>
        <v/>
      </c>
      <c r="AZ66" s="584"/>
      <c r="BE66" s="428"/>
      <c r="BF66" s="1493" t="str">
        <f>G66</f>
        <v/>
      </c>
      <c r="BG66" s="1493"/>
      <c r="BH66" s="1493"/>
    </row>
    <row r="67" spans="1:60" ht="15" customHeight="1">
      <c r="A67" s="1226"/>
      <c r="B67" s="1272"/>
      <c r="C67" s="1261"/>
      <c r="D67" s="1261"/>
      <c r="E67" s="1261"/>
      <c r="F67" s="1262"/>
      <c r="G67" s="1266"/>
      <c r="H67" s="1266"/>
      <c r="I67" s="1266"/>
      <c r="J67" s="1372"/>
      <c r="K67" s="1266"/>
      <c r="L67" s="1451"/>
      <c r="M67" s="1453"/>
      <c r="N67" s="1370" t="str">
        <f>IF('別紙様式2-2（４・５月分）'!Q54="","",'別紙様式2-2（４・５月分）'!Q54)</f>
        <v/>
      </c>
      <c r="O67" s="1367"/>
      <c r="P67" s="1383"/>
      <c r="Q67" s="1384"/>
      <c r="R67" s="1385"/>
      <c r="S67" s="1393"/>
      <c r="T67" s="1414"/>
      <c r="U67" s="1563"/>
      <c r="V67" s="1458"/>
      <c r="W67" s="1351"/>
      <c r="X67" s="1535"/>
      <c r="Y67" s="1355"/>
      <c r="Z67" s="1535"/>
      <c r="AA67" s="1355"/>
      <c r="AB67" s="1535"/>
      <c r="AC67" s="1355"/>
      <c r="AD67" s="1535"/>
      <c r="AE67" s="1355"/>
      <c r="AF67" s="1355"/>
      <c r="AG67" s="1355"/>
      <c r="AH67" s="1361"/>
      <c r="AI67" s="1482"/>
      <c r="AJ67" s="1543"/>
      <c r="AK67" s="1539"/>
      <c r="AL67" s="1541"/>
      <c r="AM67" s="1572"/>
      <c r="AN67" s="1574"/>
      <c r="AO67" s="1404"/>
      <c r="AP67" s="1533"/>
      <c r="AQ67" s="1404"/>
      <c r="AR67" s="1584"/>
      <c r="AS67" s="1537"/>
      <c r="AT67" s="1532" t="str">
        <f t="shared" ref="AT67" si="58">IF(AV68="","",IF(OR(AB68="",AB68&lt;&gt;7,AD68="",AD68&lt;&gt;3),"！算定期間の終わりが令和７年３月になっていません。年度内の廃止予定等がなければ、算定対象月を令和７年３月にしてください。",""))</f>
        <v/>
      </c>
      <c r="AU67" s="674"/>
      <c r="AV67" s="1493"/>
      <c r="AW67" s="1518" t="str">
        <f>IF('別紙様式2-2（４・５月分）'!O54="","",'別紙様式2-2（４・５月分）'!O54)</f>
        <v/>
      </c>
      <c r="AX67" s="1507"/>
      <c r="AY67" s="1589"/>
      <c r="AZ67" s="521"/>
      <c r="BE67" s="428"/>
      <c r="BF67" s="1493" t="str">
        <f>G66</f>
        <v/>
      </c>
      <c r="BG67" s="1493"/>
      <c r="BH67" s="1493"/>
    </row>
    <row r="68" spans="1:60" ht="15" customHeight="1">
      <c r="A68" s="1240"/>
      <c r="B68" s="1272"/>
      <c r="C68" s="1261"/>
      <c r="D68" s="1261"/>
      <c r="E68" s="1261"/>
      <c r="F68" s="1262"/>
      <c r="G68" s="1266"/>
      <c r="H68" s="1266"/>
      <c r="I68" s="1266"/>
      <c r="J68" s="1372"/>
      <c r="K68" s="1266"/>
      <c r="L68" s="1451"/>
      <c r="M68" s="1453"/>
      <c r="N68" s="1371"/>
      <c r="O68" s="1368"/>
      <c r="P68" s="1390" t="s">
        <v>2179</v>
      </c>
      <c r="Q68" s="1504" t="str">
        <f>IFERROR(VLOOKUP('別紙様式2-2（４・５月分）'!AR53,【参考】数式用!$AT$5:$AV$22,3,FALSE),"")</f>
        <v/>
      </c>
      <c r="R68" s="1388" t="s">
        <v>2190</v>
      </c>
      <c r="S68" s="1394" t="str">
        <f>IFERROR(VLOOKUP(K66,【参考】数式用!$A$5:$AB$27,MATCH(Q68,【参考】数式用!$B$4:$AB$4,0)+1,0),"")</f>
        <v/>
      </c>
      <c r="T68" s="1459" t="s">
        <v>2267</v>
      </c>
      <c r="U68" s="1569"/>
      <c r="V68" s="1463" t="str">
        <f>IFERROR(VLOOKUP(K66,【参考】数式用!$A$5:$AB$27,MATCH(U68,【参考】数式用!$B$4:$AB$4,0)+1,0),"")</f>
        <v/>
      </c>
      <c r="W68" s="1465" t="s">
        <v>19</v>
      </c>
      <c r="X68" s="1564"/>
      <c r="Y68" s="1407" t="s">
        <v>10</v>
      </c>
      <c r="Z68" s="1564"/>
      <c r="AA68" s="1407" t="s">
        <v>45</v>
      </c>
      <c r="AB68" s="1564"/>
      <c r="AC68" s="1407" t="s">
        <v>10</v>
      </c>
      <c r="AD68" s="1564"/>
      <c r="AE68" s="1407" t="s">
        <v>2172</v>
      </c>
      <c r="AF68" s="1407" t="s">
        <v>24</v>
      </c>
      <c r="AG68" s="1407" t="str">
        <f>IF(X68&gt;=1,(AB68*12+AD68)-(X68*12+Z68)+1,"")</f>
        <v/>
      </c>
      <c r="AH68" s="1409" t="s">
        <v>38</v>
      </c>
      <c r="AI68" s="1411" t="str">
        <f t="shared" ref="AI68" si="59">IFERROR(ROUNDDOWN(ROUND(L66*V68,0)*M66,0)*AG68,"")</f>
        <v/>
      </c>
      <c r="AJ68" s="1577" t="str">
        <f>IFERROR(ROUNDDOWN(ROUND((L66*(V68-AX66)),0)*M66,0)*AG68,"")</f>
        <v/>
      </c>
      <c r="AK68" s="1494" t="str">
        <f>IFERROR(ROUNDDOWN(ROUNDDOWN(ROUND(L66*VLOOKUP(K66,【参考】数式用!$A$5:$AB$27,MATCH("新加算Ⅳ",【参考】数式用!$B$4:$AB$4,0)+1,0),0)*M66,0)*AG68*0.5,0),"")</f>
        <v/>
      </c>
      <c r="AL68" s="1579"/>
      <c r="AM68" s="1585" t="str">
        <f>IFERROR(IF('別紙様式2-2（４・５月分）'!Q55="ベア加算","", IF(OR(U68="新加算Ⅰ",U68="新加算Ⅱ",U68="新加算Ⅲ",U68="新加算Ⅳ"),ROUNDDOWN(ROUND(L66*VLOOKUP(K66,【参考】数式用!$A$5:$I$27,MATCH("ベア加算",【参考】数式用!$B$4:$I$4,0)+1,0),0)*M66,0)*AG68,"")),"")</f>
        <v/>
      </c>
      <c r="AN68" s="1548"/>
      <c r="AO68" s="1554"/>
      <c r="AP68" s="1552"/>
      <c r="AQ68" s="1554"/>
      <c r="AR68" s="1556"/>
      <c r="AS68" s="1558"/>
      <c r="AT68" s="1532"/>
      <c r="AU68" s="542"/>
      <c r="AV68" s="1493" t="str">
        <f t="shared" ref="AV68" si="60">IF(OR(AB66&lt;&gt;7,AD66&lt;&gt;3),"V列に色付け","")</f>
        <v/>
      </c>
      <c r="AW68" s="1518"/>
      <c r="AX68" s="1507"/>
      <c r="AY68" s="671"/>
      <c r="AZ68" s="1321" t="str">
        <f>IF(AM68&lt;&gt;"",IF(AN68="○","入力済","未入力"),"")</f>
        <v/>
      </c>
      <c r="BA68" s="1321"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321" t="str">
        <f>IF(OR(U68="新加算Ⅴ（７）",U68="新加算Ⅴ（９）",U68="新加算Ⅴ（10）",U68="新加算Ⅴ（12）",U68="新加算Ⅴ（13）",U68="新加算Ⅴ（14）"),IF(OR(AP68="○",AP68="令和６年度中に満たす"),"入力済","未入力"),"")</f>
        <v/>
      </c>
      <c r="BC68" s="1321" t="str">
        <f>IF(OR(U68="新加算Ⅰ",U68="新加算Ⅱ",U68="新加算Ⅲ",U68="新加算Ⅴ（１）",U68="新加算Ⅴ（３）",U68="新加算Ⅴ（８）"),IF(OR(AQ68="○",AQ68="令和６年度中に満たす"),"入力済","未入力"),"")</f>
        <v/>
      </c>
      <c r="BD68" s="1588"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493" t="str">
        <f>IF(OR(U68="新加算Ⅰ",U68="新加算Ⅴ（１）",U68="新加算Ⅴ（２）",U68="新加算Ⅴ（５）",U68="新加算Ⅴ（７）",U68="新加算Ⅴ（10）"),IF(AS68="","未入力","入力済"),"")</f>
        <v/>
      </c>
      <c r="BF68" s="1493" t="str">
        <f>G66</f>
        <v/>
      </c>
      <c r="BG68" s="1493"/>
      <c r="BH68" s="1493"/>
    </row>
    <row r="69" spans="1:60" ht="30" customHeight="1" thickBot="1">
      <c r="A69" s="1227"/>
      <c r="B69" s="1376"/>
      <c r="C69" s="1377"/>
      <c r="D69" s="1377"/>
      <c r="E69" s="1377"/>
      <c r="F69" s="1378"/>
      <c r="G69" s="1267"/>
      <c r="H69" s="1267"/>
      <c r="I69" s="1267"/>
      <c r="J69" s="1373"/>
      <c r="K69" s="1267"/>
      <c r="L69" s="1452"/>
      <c r="M69" s="1454"/>
      <c r="N69" s="650" t="str">
        <f>IF('別紙様式2-2（４・５月分）'!Q55="","",'別紙様式2-2（４・５月分）'!Q55)</f>
        <v/>
      </c>
      <c r="O69" s="1369"/>
      <c r="P69" s="1391"/>
      <c r="Q69" s="1505"/>
      <c r="R69" s="1389"/>
      <c r="S69" s="1395"/>
      <c r="T69" s="1460"/>
      <c r="U69" s="1570"/>
      <c r="V69" s="1464"/>
      <c r="W69" s="1466"/>
      <c r="X69" s="1565"/>
      <c r="Y69" s="1408"/>
      <c r="Z69" s="1565"/>
      <c r="AA69" s="1408"/>
      <c r="AB69" s="1565"/>
      <c r="AC69" s="1408"/>
      <c r="AD69" s="1565"/>
      <c r="AE69" s="1408"/>
      <c r="AF69" s="1408"/>
      <c r="AG69" s="1408"/>
      <c r="AH69" s="1410"/>
      <c r="AI69" s="1412"/>
      <c r="AJ69" s="1578"/>
      <c r="AK69" s="1495"/>
      <c r="AL69" s="1580"/>
      <c r="AM69" s="1586"/>
      <c r="AN69" s="1549"/>
      <c r="AO69" s="1555"/>
      <c r="AP69" s="1553"/>
      <c r="AQ69" s="1555"/>
      <c r="AR69" s="1557"/>
      <c r="AS69" s="1559"/>
      <c r="AT69" s="672" t="str">
        <f t="shared" ref="AT69" si="61">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42"/>
      <c r="AV69" s="1493"/>
      <c r="AW69" s="652" t="str">
        <f>IF('別紙様式2-2（４・５月分）'!O55="","",'別紙様式2-2（４・５月分）'!O55)</f>
        <v/>
      </c>
      <c r="AX69" s="1507"/>
      <c r="AY69" s="673"/>
      <c r="AZ69" s="1321" t="str">
        <f>IF(OR(U69="新加算Ⅰ",U69="新加算Ⅱ",U69="新加算Ⅲ",U69="新加算Ⅳ",U69="新加算Ⅴ（１）",U69="新加算Ⅴ（２）",U69="新加算Ⅴ（３）",U69="新加算ⅠⅤ（４）",U69="新加算Ⅴ（５）",U69="新加算Ⅴ（６）",U69="新加算Ⅴ（８）",U69="新加算Ⅴ（11）"),IF(AJ69="○","","未入力"),"")</f>
        <v/>
      </c>
      <c r="BA69" s="1321" t="str">
        <f>IF(OR(V69="新加算Ⅰ",V69="新加算Ⅱ",V69="新加算Ⅲ",V69="新加算Ⅳ",V69="新加算Ⅴ（１）",V69="新加算Ⅴ（２）",V69="新加算Ⅴ（３）",V69="新加算ⅠⅤ（４）",V69="新加算Ⅴ（５）",V69="新加算Ⅴ（６）",V69="新加算Ⅴ（８）",V69="新加算Ⅴ（11）"),IF(AK69="○","","未入力"),"")</f>
        <v/>
      </c>
      <c r="BB69" s="1321" t="str">
        <f>IF(OR(V69="新加算Ⅴ（７）",V69="新加算Ⅴ（９）",V69="新加算Ⅴ（10）",V69="新加算Ⅴ（12）",V69="新加算Ⅴ（13）",V69="新加算Ⅴ（14）"),IF(AL69="○","","未入力"),"")</f>
        <v/>
      </c>
      <c r="BC69" s="1321" t="str">
        <f>IF(OR(V69="新加算Ⅰ",V69="新加算Ⅱ",V69="新加算Ⅲ",V69="新加算Ⅴ（１）",V69="新加算Ⅴ（３）",V69="新加算Ⅴ（８）"),IF(AM69="○","","未入力"),"")</f>
        <v/>
      </c>
      <c r="BD69" s="1588"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493" t="str">
        <f>IF(AND(U69&lt;&gt;"（参考）令和７年度の移行予定",OR(V69="新加算Ⅰ",V69="新加算Ⅴ（１）",V69="新加算Ⅴ（２）",V69="新加算Ⅴ（５）",V69="新加算Ⅴ（７）",V69="新加算Ⅴ（10）")),IF(AO69="","未入力",IF(AO69="いずれも取得していない","要件を満たさない","")),"")</f>
        <v/>
      </c>
      <c r="BF69" s="1493" t="str">
        <f>G66</f>
        <v/>
      </c>
      <c r="BG69" s="1493"/>
      <c r="BH69" s="1493"/>
    </row>
    <row r="70" spans="1:60" ht="30" customHeight="1">
      <c r="A70" s="1225">
        <v>15</v>
      </c>
      <c r="B70" s="1271" t="str">
        <f>IF(基本情報入力シート!C68="","",基本情報入力シート!C68)</f>
        <v/>
      </c>
      <c r="C70" s="1259"/>
      <c r="D70" s="1259"/>
      <c r="E70" s="1259"/>
      <c r="F70" s="1260"/>
      <c r="G70" s="1265" t="str">
        <f>IF(基本情報入力シート!M68="","",基本情報入力シート!M68)</f>
        <v/>
      </c>
      <c r="H70" s="1265" t="str">
        <f>IF(基本情報入力シート!R68="","",基本情報入力シート!R68)</f>
        <v/>
      </c>
      <c r="I70" s="1265" t="str">
        <f>IF(基本情報入力シート!W68="","",基本情報入力シート!W68)</f>
        <v/>
      </c>
      <c r="J70" s="1379" t="str">
        <f>IF(基本情報入力シート!X68="","",基本情報入力シート!X68)</f>
        <v/>
      </c>
      <c r="K70" s="1265" t="str">
        <f>IF(基本情報入力シート!Y68="","",基本情報入力シート!Y68)</f>
        <v/>
      </c>
      <c r="L70" s="1450" t="str">
        <f>IF(基本情報入力シート!AB68="","",基本情報入力シート!AB68)</f>
        <v/>
      </c>
      <c r="M70" s="1447" t="str">
        <f>IF(基本情報入力シート!AC68="","",基本情報入力シート!AC68)</f>
        <v/>
      </c>
      <c r="N70" s="647" t="str">
        <f>IF('別紙様式2-2（４・５月分）'!Q56="","",'別紙様式2-2（４・５月分）'!Q56)</f>
        <v/>
      </c>
      <c r="O70" s="1366" t="str">
        <f>IF(SUM('別紙様式2-2（４・５月分）'!R56:R58)=0,"",SUM('別紙様式2-2（４・５月分）'!R56:R58))</f>
        <v/>
      </c>
      <c r="P70" s="1380" t="str">
        <f>IFERROR(VLOOKUP('別紙様式2-2（４・５月分）'!AR56,【参考】数式用!$AT$5:$AU$22,2,FALSE),"")</f>
        <v/>
      </c>
      <c r="Q70" s="1381"/>
      <c r="R70" s="1382"/>
      <c r="S70" s="1392" t="str">
        <f>IFERROR(VLOOKUP(K70,【参考】数式用!$A$5:$AB$27,MATCH(P70,【参考】数式用!$B$4:$AB$4,0)+1,0),"")</f>
        <v/>
      </c>
      <c r="T70" s="1413" t="s">
        <v>2258</v>
      </c>
      <c r="U70" s="1562" t="str">
        <f>IF('別紙様式2-3（６月以降分）'!U70="","",'別紙様式2-3（６月以降分）'!U70)</f>
        <v/>
      </c>
      <c r="V70" s="1457" t="str">
        <f>IFERROR(VLOOKUP(K70,【参考】数式用!$A$5:$AB$27,MATCH(U70,【参考】数式用!$B$4:$AB$4,0)+1,0),"")</f>
        <v/>
      </c>
      <c r="W70" s="1350" t="s">
        <v>19</v>
      </c>
      <c r="X70" s="1534">
        <f>'別紙様式2-3（６月以降分）'!X70</f>
        <v>6</v>
      </c>
      <c r="Y70" s="1354" t="s">
        <v>10</v>
      </c>
      <c r="Z70" s="1534">
        <f>'別紙様式2-3（６月以降分）'!Z70</f>
        <v>6</v>
      </c>
      <c r="AA70" s="1354" t="s">
        <v>45</v>
      </c>
      <c r="AB70" s="1534">
        <f>'別紙様式2-3（６月以降分）'!AB70</f>
        <v>7</v>
      </c>
      <c r="AC70" s="1354" t="s">
        <v>10</v>
      </c>
      <c r="AD70" s="1534">
        <f>'別紙様式2-3（６月以降分）'!AD70</f>
        <v>3</v>
      </c>
      <c r="AE70" s="1354" t="s">
        <v>2172</v>
      </c>
      <c r="AF70" s="1354" t="s">
        <v>24</v>
      </c>
      <c r="AG70" s="1354">
        <f>IF(X70&gt;=1,(AB70*12+AD70)-(X70*12+Z70)+1,"")</f>
        <v>10</v>
      </c>
      <c r="AH70" s="1360" t="s">
        <v>38</v>
      </c>
      <c r="AI70" s="1481" t="str">
        <f>'別紙様式2-3（６月以降分）'!AI70</f>
        <v/>
      </c>
      <c r="AJ70" s="1542" t="str">
        <f>'別紙様式2-3（６月以降分）'!AJ70</f>
        <v/>
      </c>
      <c r="AK70" s="1538">
        <f>'別紙様式2-3（６月以降分）'!AK70</f>
        <v>0</v>
      </c>
      <c r="AL70" s="1540" t="str">
        <f>IF('別紙様式2-3（６月以降分）'!AL70="","",'別紙様式2-3（６月以降分）'!AL70)</f>
        <v/>
      </c>
      <c r="AM70" s="1571">
        <f>'別紙様式2-3（６月以降分）'!AM70</f>
        <v>0</v>
      </c>
      <c r="AN70" s="1573" t="str">
        <f>IF('別紙様式2-3（６月以降分）'!AN70="","",'別紙様式2-3（６月以降分）'!AN70)</f>
        <v/>
      </c>
      <c r="AO70" s="1403" t="str">
        <f>IF('別紙様式2-3（６月以降分）'!AO70="","",'別紙様式2-3（６月以降分）'!AO70)</f>
        <v/>
      </c>
      <c r="AP70" s="1502" t="str">
        <f>IF('別紙様式2-3（６月以降分）'!AP70="","",'別紙様式2-3（６月以降分）'!AP70)</f>
        <v/>
      </c>
      <c r="AQ70" s="1403" t="str">
        <f>IF('別紙様式2-3（６月以降分）'!AQ70="","",'別紙様式2-3（６月以降分）'!AQ70)</f>
        <v/>
      </c>
      <c r="AR70" s="1583" t="str">
        <f>IF('別紙様式2-3（６月以降分）'!AR70="","",'別紙様式2-3（６月以降分）'!AR70)</f>
        <v/>
      </c>
      <c r="AS70" s="1536" t="str">
        <f>IF('別紙様式2-3（６月以降分）'!AS70="","",'別紙様式2-3（６月以降分）'!AS70)</f>
        <v/>
      </c>
      <c r="AT70" s="667" t="str">
        <f t="shared" ref="AT70" si="62">IF(AV72="","",IF(V72&lt;V70,"！加算の要件上は問題ありませんが、令和６年度当初の新加算の加算率と比較して、移行後の加算率が下がる計画になっています。",""))</f>
        <v/>
      </c>
      <c r="AU70" s="674"/>
      <c r="AV70" s="1233"/>
      <c r="AW70" s="652" t="str">
        <f>IF('別紙様式2-2（４・５月分）'!O56="","",'別紙様式2-2（４・５月分）'!O56)</f>
        <v/>
      </c>
      <c r="AX70" s="1507" t="str">
        <f>IF(SUM('別紙様式2-2（４・５月分）'!P56:P58)=0,"",SUM('別紙様式2-2（４・５月分）'!P56:P58))</f>
        <v/>
      </c>
      <c r="AY70" s="1590" t="str">
        <f>IFERROR(VLOOKUP(K70,【参考】数式用!$AJ$2:$AK$24,2,FALSE),"")</f>
        <v/>
      </c>
      <c r="AZ70" s="584"/>
      <c r="BE70" s="428"/>
      <c r="BF70" s="1493" t="str">
        <f>G70</f>
        <v/>
      </c>
      <c r="BG70" s="1493"/>
      <c r="BH70" s="1493"/>
    </row>
    <row r="71" spans="1:60" ht="15" customHeight="1">
      <c r="A71" s="1226"/>
      <c r="B71" s="1272"/>
      <c r="C71" s="1261"/>
      <c r="D71" s="1261"/>
      <c r="E71" s="1261"/>
      <c r="F71" s="1262"/>
      <c r="G71" s="1266"/>
      <c r="H71" s="1266"/>
      <c r="I71" s="1266"/>
      <c r="J71" s="1372"/>
      <c r="K71" s="1266"/>
      <c r="L71" s="1451"/>
      <c r="M71" s="1448"/>
      <c r="N71" s="1370" t="str">
        <f>IF('別紙様式2-2（４・５月分）'!Q57="","",'別紙様式2-2（４・５月分）'!Q57)</f>
        <v/>
      </c>
      <c r="O71" s="1367"/>
      <c r="P71" s="1383"/>
      <c r="Q71" s="1384"/>
      <c r="R71" s="1385"/>
      <c r="S71" s="1393"/>
      <c r="T71" s="1414"/>
      <c r="U71" s="1563"/>
      <c r="V71" s="1458"/>
      <c r="W71" s="1351"/>
      <c r="X71" s="1535"/>
      <c r="Y71" s="1355"/>
      <c r="Z71" s="1535"/>
      <c r="AA71" s="1355"/>
      <c r="AB71" s="1535"/>
      <c r="AC71" s="1355"/>
      <c r="AD71" s="1535"/>
      <c r="AE71" s="1355"/>
      <c r="AF71" s="1355"/>
      <c r="AG71" s="1355"/>
      <c r="AH71" s="1361"/>
      <c r="AI71" s="1482"/>
      <c r="AJ71" s="1543"/>
      <c r="AK71" s="1539"/>
      <c r="AL71" s="1541"/>
      <c r="AM71" s="1572"/>
      <c r="AN71" s="1574"/>
      <c r="AO71" s="1404"/>
      <c r="AP71" s="1533"/>
      <c r="AQ71" s="1404"/>
      <c r="AR71" s="1584"/>
      <c r="AS71" s="1537"/>
      <c r="AT71" s="1532" t="str">
        <f t="shared" ref="AT71" si="63">IF(AV72="","",IF(OR(AB72="",AB72&lt;&gt;7,AD72="",AD72&lt;&gt;3),"！算定期間の終わりが令和７年３月になっていません。年度内の廃止予定等がなければ、算定対象月を令和７年３月にしてください。",""))</f>
        <v/>
      </c>
      <c r="AU71" s="674"/>
      <c r="AV71" s="1493"/>
      <c r="AW71" s="1518" t="str">
        <f>IF('別紙様式2-2（４・５月分）'!O57="","",'別紙様式2-2（４・５月分）'!O57)</f>
        <v/>
      </c>
      <c r="AX71" s="1507"/>
      <c r="AY71" s="1589"/>
      <c r="AZ71" s="521"/>
      <c r="BE71" s="428"/>
      <c r="BF71" s="1493" t="str">
        <f>G70</f>
        <v/>
      </c>
      <c r="BG71" s="1493"/>
      <c r="BH71" s="1493"/>
    </row>
    <row r="72" spans="1:60" ht="15" customHeight="1">
      <c r="A72" s="1240"/>
      <c r="B72" s="1272"/>
      <c r="C72" s="1261"/>
      <c r="D72" s="1261"/>
      <c r="E72" s="1261"/>
      <c r="F72" s="1262"/>
      <c r="G72" s="1266"/>
      <c r="H72" s="1266"/>
      <c r="I72" s="1266"/>
      <c r="J72" s="1372"/>
      <c r="K72" s="1266"/>
      <c r="L72" s="1451"/>
      <c r="M72" s="1448"/>
      <c r="N72" s="1371"/>
      <c r="O72" s="1368"/>
      <c r="P72" s="1390" t="s">
        <v>2179</v>
      </c>
      <c r="Q72" s="1504" t="str">
        <f>IFERROR(VLOOKUP('別紙様式2-2（４・５月分）'!AR56,【参考】数式用!$AT$5:$AV$22,3,FALSE),"")</f>
        <v/>
      </c>
      <c r="R72" s="1388" t="s">
        <v>2190</v>
      </c>
      <c r="S72" s="1396" t="str">
        <f>IFERROR(VLOOKUP(K70,【参考】数式用!$A$5:$AB$27,MATCH(Q72,【参考】数式用!$B$4:$AB$4,0)+1,0),"")</f>
        <v/>
      </c>
      <c r="T72" s="1459" t="s">
        <v>2267</v>
      </c>
      <c r="U72" s="1569"/>
      <c r="V72" s="1463" t="str">
        <f>IFERROR(VLOOKUP(K70,【参考】数式用!$A$5:$AB$27,MATCH(U72,【参考】数式用!$B$4:$AB$4,0)+1,0),"")</f>
        <v/>
      </c>
      <c r="W72" s="1465" t="s">
        <v>19</v>
      </c>
      <c r="X72" s="1564"/>
      <c r="Y72" s="1407" t="s">
        <v>10</v>
      </c>
      <c r="Z72" s="1564"/>
      <c r="AA72" s="1407" t="s">
        <v>45</v>
      </c>
      <c r="AB72" s="1564"/>
      <c r="AC72" s="1407" t="s">
        <v>10</v>
      </c>
      <c r="AD72" s="1564"/>
      <c r="AE72" s="1407" t="s">
        <v>2172</v>
      </c>
      <c r="AF72" s="1407" t="s">
        <v>24</v>
      </c>
      <c r="AG72" s="1407" t="str">
        <f>IF(X72&gt;=1,(AB72*12+AD72)-(X72*12+Z72)+1,"")</f>
        <v/>
      </c>
      <c r="AH72" s="1409" t="s">
        <v>38</v>
      </c>
      <c r="AI72" s="1411" t="str">
        <f t="shared" ref="AI72" si="64">IFERROR(ROUNDDOWN(ROUND(L70*V72,0)*M70,0)*AG72,"")</f>
        <v/>
      </c>
      <c r="AJ72" s="1577" t="str">
        <f>IFERROR(ROUNDDOWN(ROUND((L70*(V72-AX70)),0)*M70,0)*AG72,"")</f>
        <v/>
      </c>
      <c r="AK72" s="1494" t="str">
        <f>IFERROR(ROUNDDOWN(ROUNDDOWN(ROUND(L70*VLOOKUP(K70,【参考】数式用!$A$5:$AB$27,MATCH("新加算Ⅳ",【参考】数式用!$B$4:$AB$4,0)+1,0),0)*M70,0)*AG72*0.5,0),"")</f>
        <v/>
      </c>
      <c r="AL72" s="1579"/>
      <c r="AM72" s="1585" t="str">
        <f>IFERROR(IF('別紙様式2-2（４・５月分）'!Q58="ベア加算","", IF(OR(U72="新加算Ⅰ",U72="新加算Ⅱ",U72="新加算Ⅲ",U72="新加算Ⅳ"),ROUNDDOWN(ROUND(L70*VLOOKUP(K70,【参考】数式用!$A$5:$I$27,MATCH("ベア加算",【参考】数式用!$B$4:$I$4,0)+1,0),0)*M70,0)*AG72,"")),"")</f>
        <v/>
      </c>
      <c r="AN72" s="1548"/>
      <c r="AO72" s="1554"/>
      <c r="AP72" s="1552"/>
      <c r="AQ72" s="1554"/>
      <c r="AR72" s="1556"/>
      <c r="AS72" s="1558"/>
      <c r="AT72" s="1532"/>
      <c r="AU72" s="542"/>
      <c r="AV72" s="1493" t="str">
        <f t="shared" ref="AV72" si="65">IF(OR(AB70&lt;&gt;7,AD70&lt;&gt;3),"V列に色付け","")</f>
        <v/>
      </c>
      <c r="AW72" s="1518"/>
      <c r="AX72" s="1507"/>
      <c r="AY72" s="671"/>
      <c r="AZ72" s="1321" t="str">
        <f>IF(AM72&lt;&gt;"",IF(AN72="○","入力済","未入力"),"")</f>
        <v/>
      </c>
      <c r="BA72" s="1321"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321" t="str">
        <f>IF(OR(U72="新加算Ⅴ（７）",U72="新加算Ⅴ（９）",U72="新加算Ⅴ（10）",U72="新加算Ⅴ（12）",U72="新加算Ⅴ（13）",U72="新加算Ⅴ（14）"),IF(OR(AP72="○",AP72="令和６年度中に満たす"),"入力済","未入力"),"")</f>
        <v/>
      </c>
      <c r="BC72" s="1321" t="str">
        <f>IF(OR(U72="新加算Ⅰ",U72="新加算Ⅱ",U72="新加算Ⅲ",U72="新加算Ⅴ（１）",U72="新加算Ⅴ（３）",U72="新加算Ⅴ（８）"),IF(OR(AQ72="○",AQ72="令和６年度中に満たす"),"入力済","未入力"),"")</f>
        <v/>
      </c>
      <c r="BD72" s="1588"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493" t="str">
        <f>IF(OR(U72="新加算Ⅰ",U72="新加算Ⅴ（１）",U72="新加算Ⅴ（２）",U72="新加算Ⅴ（５）",U72="新加算Ⅴ（７）",U72="新加算Ⅴ（10）"),IF(AS72="","未入力","入力済"),"")</f>
        <v/>
      </c>
      <c r="BF72" s="1493" t="str">
        <f>G70</f>
        <v/>
      </c>
      <c r="BG72" s="1493"/>
      <c r="BH72" s="1493"/>
    </row>
    <row r="73" spans="1:60" ht="30" customHeight="1" thickBot="1">
      <c r="A73" s="1227"/>
      <c r="B73" s="1376"/>
      <c r="C73" s="1377"/>
      <c r="D73" s="1377"/>
      <c r="E73" s="1377"/>
      <c r="F73" s="1378"/>
      <c r="G73" s="1267"/>
      <c r="H73" s="1267"/>
      <c r="I73" s="1267"/>
      <c r="J73" s="1373"/>
      <c r="K73" s="1267"/>
      <c r="L73" s="1452"/>
      <c r="M73" s="1449"/>
      <c r="N73" s="650" t="str">
        <f>IF('別紙様式2-2（４・５月分）'!Q58="","",'別紙様式2-2（４・５月分）'!Q58)</f>
        <v/>
      </c>
      <c r="O73" s="1369"/>
      <c r="P73" s="1391"/>
      <c r="Q73" s="1505"/>
      <c r="R73" s="1389"/>
      <c r="S73" s="1395"/>
      <c r="T73" s="1460"/>
      <c r="U73" s="1570"/>
      <c r="V73" s="1464"/>
      <c r="W73" s="1466"/>
      <c r="X73" s="1565"/>
      <c r="Y73" s="1408"/>
      <c r="Z73" s="1565"/>
      <c r="AA73" s="1408"/>
      <c r="AB73" s="1565"/>
      <c r="AC73" s="1408"/>
      <c r="AD73" s="1565"/>
      <c r="AE73" s="1408"/>
      <c r="AF73" s="1408"/>
      <c r="AG73" s="1408"/>
      <c r="AH73" s="1410"/>
      <c r="AI73" s="1412"/>
      <c r="AJ73" s="1578"/>
      <c r="AK73" s="1495"/>
      <c r="AL73" s="1580"/>
      <c r="AM73" s="1586"/>
      <c r="AN73" s="1549"/>
      <c r="AO73" s="1555"/>
      <c r="AP73" s="1553"/>
      <c r="AQ73" s="1555"/>
      <c r="AR73" s="1557"/>
      <c r="AS73" s="1559"/>
      <c r="AT73" s="672" t="str">
        <f t="shared" ref="AT73" si="66">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42"/>
      <c r="AV73" s="1493"/>
      <c r="AW73" s="652" t="str">
        <f>IF('別紙様式2-2（４・５月分）'!O58="","",'別紙様式2-2（４・５月分）'!O58)</f>
        <v/>
      </c>
      <c r="AX73" s="1507"/>
      <c r="AY73" s="673"/>
      <c r="AZ73" s="1321" t="str">
        <f>IF(OR(U73="新加算Ⅰ",U73="新加算Ⅱ",U73="新加算Ⅲ",U73="新加算Ⅳ",U73="新加算Ⅴ（１）",U73="新加算Ⅴ（２）",U73="新加算Ⅴ（３）",U73="新加算ⅠⅤ（４）",U73="新加算Ⅴ（５）",U73="新加算Ⅴ（６）",U73="新加算Ⅴ（８）",U73="新加算Ⅴ（11）"),IF(AJ73="○","","未入力"),"")</f>
        <v/>
      </c>
      <c r="BA73" s="1321" t="str">
        <f>IF(OR(V73="新加算Ⅰ",V73="新加算Ⅱ",V73="新加算Ⅲ",V73="新加算Ⅳ",V73="新加算Ⅴ（１）",V73="新加算Ⅴ（２）",V73="新加算Ⅴ（３）",V73="新加算ⅠⅤ（４）",V73="新加算Ⅴ（５）",V73="新加算Ⅴ（６）",V73="新加算Ⅴ（８）",V73="新加算Ⅴ（11）"),IF(AK73="○","","未入力"),"")</f>
        <v/>
      </c>
      <c r="BB73" s="1321" t="str">
        <f>IF(OR(V73="新加算Ⅴ（７）",V73="新加算Ⅴ（９）",V73="新加算Ⅴ（10）",V73="新加算Ⅴ（12）",V73="新加算Ⅴ（13）",V73="新加算Ⅴ（14）"),IF(AL73="○","","未入力"),"")</f>
        <v/>
      </c>
      <c r="BC73" s="1321" t="str">
        <f>IF(OR(V73="新加算Ⅰ",V73="新加算Ⅱ",V73="新加算Ⅲ",V73="新加算Ⅴ（１）",V73="新加算Ⅴ（３）",V73="新加算Ⅴ（８）"),IF(AM73="○","","未入力"),"")</f>
        <v/>
      </c>
      <c r="BD73" s="1588"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493" t="str">
        <f>IF(AND(U73&lt;&gt;"（参考）令和７年度の移行予定",OR(V73="新加算Ⅰ",V73="新加算Ⅴ（１）",V73="新加算Ⅴ（２）",V73="新加算Ⅴ（５）",V73="新加算Ⅴ（７）",V73="新加算Ⅴ（10）")),IF(AO73="","未入力",IF(AO73="いずれも取得していない","要件を満たさない","")),"")</f>
        <v/>
      </c>
      <c r="BF73" s="1493" t="str">
        <f>G70</f>
        <v/>
      </c>
      <c r="BG73" s="1493"/>
      <c r="BH73" s="1493"/>
    </row>
    <row r="74" spans="1:60" ht="30" customHeight="1">
      <c r="A74" s="1241">
        <v>16</v>
      </c>
      <c r="B74" s="1272" t="str">
        <f>IF(基本情報入力シート!C69="","",基本情報入力シート!C69)</f>
        <v/>
      </c>
      <c r="C74" s="1261"/>
      <c r="D74" s="1261"/>
      <c r="E74" s="1261"/>
      <c r="F74" s="1262"/>
      <c r="G74" s="1266" t="str">
        <f>IF(基本情報入力シート!M69="","",基本情報入力シート!M69)</f>
        <v/>
      </c>
      <c r="H74" s="1266" t="str">
        <f>IF(基本情報入力シート!R69="","",基本情報入力シート!R69)</f>
        <v/>
      </c>
      <c r="I74" s="1266" t="str">
        <f>IF(基本情報入力シート!W69="","",基本情報入力シート!W69)</f>
        <v/>
      </c>
      <c r="J74" s="1372" t="str">
        <f>IF(基本情報入力シート!X69="","",基本情報入力シート!X69)</f>
        <v/>
      </c>
      <c r="K74" s="1266" t="str">
        <f>IF(基本情報入力シート!Y69="","",基本情報入力シート!Y69)</f>
        <v/>
      </c>
      <c r="L74" s="1451" t="str">
        <f>IF(基本情報入力シート!AB69="","",基本情報入力シート!AB69)</f>
        <v/>
      </c>
      <c r="M74" s="1453" t="str">
        <f>IF(基本情報入力シート!AC69="","",基本情報入力シート!AC69)</f>
        <v/>
      </c>
      <c r="N74" s="647" t="str">
        <f>IF('別紙様式2-2（４・５月分）'!Q59="","",'別紙様式2-2（４・５月分）'!Q59)</f>
        <v/>
      </c>
      <c r="O74" s="1366" t="str">
        <f>IF(SUM('別紙様式2-2（４・５月分）'!R59:R61)=0,"",SUM('別紙様式2-2（４・５月分）'!R59:R61))</f>
        <v/>
      </c>
      <c r="P74" s="1380" t="str">
        <f>IFERROR(VLOOKUP('別紙様式2-2（４・５月分）'!AR59,【参考】数式用!$AT$5:$AU$22,2,FALSE),"")</f>
        <v/>
      </c>
      <c r="Q74" s="1381"/>
      <c r="R74" s="1382"/>
      <c r="S74" s="1392" t="str">
        <f>IFERROR(VLOOKUP(K74,【参考】数式用!$A$5:$AB$27,MATCH(P74,【参考】数式用!$B$4:$AB$4,0)+1,0),"")</f>
        <v/>
      </c>
      <c r="T74" s="1413" t="s">
        <v>2258</v>
      </c>
      <c r="U74" s="1562" t="str">
        <f>IF('別紙様式2-3（６月以降分）'!U74="","",'別紙様式2-3（６月以降分）'!U74)</f>
        <v/>
      </c>
      <c r="V74" s="1457" t="str">
        <f>IFERROR(VLOOKUP(K74,【参考】数式用!$A$5:$AB$27,MATCH(U74,【参考】数式用!$B$4:$AB$4,0)+1,0),"")</f>
        <v/>
      </c>
      <c r="W74" s="1350" t="s">
        <v>19</v>
      </c>
      <c r="X74" s="1534">
        <f>'別紙様式2-3（６月以降分）'!X74</f>
        <v>6</v>
      </c>
      <c r="Y74" s="1354" t="s">
        <v>10</v>
      </c>
      <c r="Z74" s="1534">
        <f>'別紙様式2-3（６月以降分）'!Z74</f>
        <v>6</v>
      </c>
      <c r="AA74" s="1354" t="s">
        <v>45</v>
      </c>
      <c r="AB74" s="1534">
        <f>'別紙様式2-3（６月以降分）'!AB74</f>
        <v>7</v>
      </c>
      <c r="AC74" s="1354" t="s">
        <v>10</v>
      </c>
      <c r="AD74" s="1534">
        <f>'別紙様式2-3（６月以降分）'!AD74</f>
        <v>3</v>
      </c>
      <c r="AE74" s="1354" t="s">
        <v>2172</v>
      </c>
      <c r="AF74" s="1354" t="s">
        <v>24</v>
      </c>
      <c r="AG74" s="1354">
        <f>IF(X74&gt;=1,(AB74*12+AD74)-(X74*12+Z74)+1,"")</f>
        <v>10</v>
      </c>
      <c r="AH74" s="1360" t="s">
        <v>38</v>
      </c>
      <c r="AI74" s="1481" t="str">
        <f>'別紙様式2-3（６月以降分）'!AI74</f>
        <v/>
      </c>
      <c r="AJ74" s="1542" t="str">
        <f>'別紙様式2-3（６月以降分）'!AJ74</f>
        <v/>
      </c>
      <c r="AK74" s="1538">
        <f>'別紙様式2-3（６月以降分）'!AK74</f>
        <v>0</v>
      </c>
      <c r="AL74" s="1540" t="str">
        <f>IF('別紙様式2-3（６月以降分）'!AL74="","",'別紙様式2-3（６月以降分）'!AL74)</f>
        <v/>
      </c>
      <c r="AM74" s="1571">
        <f>'別紙様式2-3（６月以降分）'!AM74</f>
        <v>0</v>
      </c>
      <c r="AN74" s="1573" t="str">
        <f>IF('別紙様式2-3（６月以降分）'!AN74="","",'別紙様式2-3（６月以降分）'!AN74)</f>
        <v/>
      </c>
      <c r="AO74" s="1403" t="str">
        <f>IF('別紙様式2-3（６月以降分）'!AO74="","",'別紙様式2-3（６月以降分）'!AO74)</f>
        <v/>
      </c>
      <c r="AP74" s="1502" t="str">
        <f>IF('別紙様式2-3（６月以降分）'!AP74="","",'別紙様式2-3（６月以降分）'!AP74)</f>
        <v/>
      </c>
      <c r="AQ74" s="1403" t="str">
        <f>IF('別紙様式2-3（６月以降分）'!AQ74="","",'別紙様式2-3（６月以降分）'!AQ74)</f>
        <v/>
      </c>
      <c r="AR74" s="1583" t="str">
        <f>IF('別紙様式2-3（６月以降分）'!AR74="","",'別紙様式2-3（６月以降分）'!AR74)</f>
        <v/>
      </c>
      <c r="AS74" s="1536" t="str">
        <f>IF('別紙様式2-3（６月以降分）'!AS74="","",'別紙様式2-3（６月以降分）'!AS74)</f>
        <v/>
      </c>
      <c r="AT74" s="667" t="str">
        <f t="shared" ref="AT74" si="67">IF(AV76="","",IF(V76&lt;V74,"！加算の要件上は問題ありませんが、令和６年度当初の新加算の加算率と比較して、移行後の加算率が下がる計画になっています。",""))</f>
        <v/>
      </c>
      <c r="AU74" s="674"/>
      <c r="AV74" s="1233"/>
      <c r="AW74" s="652" t="str">
        <f>IF('別紙様式2-2（４・５月分）'!O59="","",'別紙様式2-2（４・５月分）'!O59)</f>
        <v/>
      </c>
      <c r="AX74" s="1507" t="str">
        <f>IF(SUM('別紙様式2-2（４・５月分）'!P59:P61)=0,"",SUM('別紙様式2-2（４・５月分）'!P59:P61))</f>
        <v/>
      </c>
      <c r="AY74" s="1589" t="str">
        <f>IFERROR(VLOOKUP(K74,【参考】数式用!$AJ$2:$AK$24,2,FALSE),"")</f>
        <v/>
      </c>
      <c r="AZ74" s="584"/>
      <c r="BE74" s="428"/>
      <c r="BF74" s="1493" t="str">
        <f>G74</f>
        <v/>
      </c>
      <c r="BG74" s="1493"/>
      <c r="BH74" s="1493"/>
    </row>
    <row r="75" spans="1:60" ht="15" customHeight="1">
      <c r="A75" s="1226"/>
      <c r="B75" s="1272"/>
      <c r="C75" s="1261"/>
      <c r="D75" s="1261"/>
      <c r="E75" s="1261"/>
      <c r="F75" s="1262"/>
      <c r="G75" s="1266"/>
      <c r="H75" s="1266"/>
      <c r="I75" s="1266"/>
      <c r="J75" s="1372"/>
      <c r="K75" s="1266"/>
      <c r="L75" s="1451"/>
      <c r="M75" s="1453"/>
      <c r="N75" s="1370" t="str">
        <f>IF('別紙様式2-2（４・５月分）'!Q60="","",'別紙様式2-2（４・５月分）'!Q60)</f>
        <v/>
      </c>
      <c r="O75" s="1367"/>
      <c r="P75" s="1383"/>
      <c r="Q75" s="1384"/>
      <c r="R75" s="1385"/>
      <c r="S75" s="1393"/>
      <c r="T75" s="1414"/>
      <c r="U75" s="1563"/>
      <c r="V75" s="1458"/>
      <c r="W75" s="1351"/>
      <c r="X75" s="1535"/>
      <c r="Y75" s="1355"/>
      <c r="Z75" s="1535"/>
      <c r="AA75" s="1355"/>
      <c r="AB75" s="1535"/>
      <c r="AC75" s="1355"/>
      <c r="AD75" s="1535"/>
      <c r="AE75" s="1355"/>
      <c r="AF75" s="1355"/>
      <c r="AG75" s="1355"/>
      <c r="AH75" s="1361"/>
      <c r="AI75" s="1482"/>
      <c r="AJ75" s="1543"/>
      <c r="AK75" s="1539"/>
      <c r="AL75" s="1541"/>
      <c r="AM75" s="1572"/>
      <c r="AN75" s="1574"/>
      <c r="AO75" s="1404"/>
      <c r="AP75" s="1533"/>
      <c r="AQ75" s="1404"/>
      <c r="AR75" s="1584"/>
      <c r="AS75" s="1537"/>
      <c r="AT75" s="1532" t="str">
        <f t="shared" ref="AT75" si="68">IF(AV76="","",IF(OR(AB76="",AB76&lt;&gt;7,AD76="",AD76&lt;&gt;3),"！算定期間の終わりが令和７年３月になっていません。年度内の廃止予定等がなければ、算定対象月を令和７年３月にしてください。",""))</f>
        <v/>
      </c>
      <c r="AU75" s="674"/>
      <c r="AV75" s="1493"/>
      <c r="AW75" s="1518" t="str">
        <f>IF('別紙様式2-2（４・５月分）'!O60="","",'別紙様式2-2（４・５月分）'!O60)</f>
        <v/>
      </c>
      <c r="AX75" s="1507"/>
      <c r="AY75" s="1589"/>
      <c r="AZ75" s="521"/>
      <c r="BE75" s="428"/>
      <c r="BF75" s="1493" t="str">
        <f>G74</f>
        <v/>
      </c>
      <c r="BG75" s="1493"/>
      <c r="BH75" s="1493"/>
    </row>
    <row r="76" spans="1:60" ht="15" customHeight="1">
      <c r="A76" s="1240"/>
      <c r="B76" s="1272"/>
      <c r="C76" s="1261"/>
      <c r="D76" s="1261"/>
      <c r="E76" s="1261"/>
      <c r="F76" s="1262"/>
      <c r="G76" s="1266"/>
      <c r="H76" s="1266"/>
      <c r="I76" s="1266"/>
      <c r="J76" s="1372"/>
      <c r="K76" s="1266"/>
      <c r="L76" s="1451"/>
      <c r="M76" s="1453"/>
      <c r="N76" s="1371"/>
      <c r="O76" s="1368"/>
      <c r="P76" s="1390" t="s">
        <v>2179</v>
      </c>
      <c r="Q76" s="1504" t="str">
        <f>IFERROR(VLOOKUP('別紙様式2-2（４・５月分）'!AR59,【参考】数式用!$AT$5:$AV$22,3,FALSE),"")</f>
        <v/>
      </c>
      <c r="R76" s="1388" t="s">
        <v>2190</v>
      </c>
      <c r="S76" s="1394" t="str">
        <f>IFERROR(VLOOKUP(K74,【参考】数式用!$A$5:$AB$27,MATCH(Q76,【参考】数式用!$B$4:$AB$4,0)+1,0),"")</f>
        <v/>
      </c>
      <c r="T76" s="1459" t="s">
        <v>2267</v>
      </c>
      <c r="U76" s="1569"/>
      <c r="V76" s="1463" t="str">
        <f>IFERROR(VLOOKUP(K74,【参考】数式用!$A$5:$AB$27,MATCH(U76,【参考】数式用!$B$4:$AB$4,0)+1,0),"")</f>
        <v/>
      </c>
      <c r="W76" s="1465" t="s">
        <v>19</v>
      </c>
      <c r="X76" s="1564"/>
      <c r="Y76" s="1407" t="s">
        <v>10</v>
      </c>
      <c r="Z76" s="1564"/>
      <c r="AA76" s="1407" t="s">
        <v>45</v>
      </c>
      <c r="AB76" s="1564"/>
      <c r="AC76" s="1407" t="s">
        <v>10</v>
      </c>
      <c r="AD76" s="1564"/>
      <c r="AE76" s="1407" t="s">
        <v>2172</v>
      </c>
      <c r="AF76" s="1407" t="s">
        <v>24</v>
      </c>
      <c r="AG76" s="1407" t="str">
        <f>IF(X76&gt;=1,(AB76*12+AD76)-(X76*12+Z76)+1,"")</f>
        <v/>
      </c>
      <c r="AH76" s="1409" t="s">
        <v>38</v>
      </c>
      <c r="AI76" s="1411" t="str">
        <f t="shared" ref="AI76" si="69">IFERROR(ROUNDDOWN(ROUND(L74*V76,0)*M74,0)*AG76,"")</f>
        <v/>
      </c>
      <c r="AJ76" s="1577" t="str">
        <f>IFERROR(ROUNDDOWN(ROUND((L74*(V76-AX74)),0)*M74,0)*AG76,"")</f>
        <v/>
      </c>
      <c r="AK76" s="1494" t="str">
        <f>IFERROR(ROUNDDOWN(ROUNDDOWN(ROUND(L74*VLOOKUP(K74,【参考】数式用!$A$5:$AB$27,MATCH("新加算Ⅳ",【参考】数式用!$B$4:$AB$4,0)+1,0),0)*M74,0)*AG76*0.5,0),"")</f>
        <v/>
      </c>
      <c r="AL76" s="1579"/>
      <c r="AM76" s="1585" t="str">
        <f>IFERROR(IF('別紙様式2-2（４・５月分）'!Q61="ベア加算","", IF(OR(U76="新加算Ⅰ",U76="新加算Ⅱ",U76="新加算Ⅲ",U76="新加算Ⅳ"),ROUNDDOWN(ROUND(L74*VLOOKUP(K74,【参考】数式用!$A$5:$I$27,MATCH("ベア加算",【参考】数式用!$B$4:$I$4,0)+1,0),0)*M74,0)*AG76,"")),"")</f>
        <v/>
      </c>
      <c r="AN76" s="1548"/>
      <c r="AO76" s="1554"/>
      <c r="AP76" s="1552"/>
      <c r="AQ76" s="1554"/>
      <c r="AR76" s="1556"/>
      <c r="AS76" s="1558"/>
      <c r="AT76" s="1532"/>
      <c r="AU76" s="542"/>
      <c r="AV76" s="1493" t="str">
        <f t="shared" ref="AV76" si="70">IF(OR(AB74&lt;&gt;7,AD74&lt;&gt;3),"V列に色付け","")</f>
        <v/>
      </c>
      <c r="AW76" s="1518"/>
      <c r="AX76" s="1507"/>
      <c r="AY76" s="671"/>
      <c r="AZ76" s="1321" t="str">
        <f>IF(AM76&lt;&gt;"",IF(AN76="○","入力済","未入力"),"")</f>
        <v/>
      </c>
      <c r="BA76" s="1321"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321" t="str">
        <f>IF(OR(U76="新加算Ⅴ（７）",U76="新加算Ⅴ（９）",U76="新加算Ⅴ（10）",U76="新加算Ⅴ（12）",U76="新加算Ⅴ（13）",U76="新加算Ⅴ（14）"),IF(OR(AP76="○",AP76="令和６年度中に満たす"),"入力済","未入力"),"")</f>
        <v/>
      </c>
      <c r="BC76" s="1321" t="str">
        <f>IF(OR(U76="新加算Ⅰ",U76="新加算Ⅱ",U76="新加算Ⅲ",U76="新加算Ⅴ（１）",U76="新加算Ⅴ（３）",U76="新加算Ⅴ（８）"),IF(OR(AQ76="○",AQ76="令和６年度中に満たす"),"入力済","未入力"),"")</f>
        <v/>
      </c>
      <c r="BD76" s="1588"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493" t="str">
        <f>IF(OR(U76="新加算Ⅰ",U76="新加算Ⅴ（１）",U76="新加算Ⅴ（２）",U76="新加算Ⅴ（５）",U76="新加算Ⅴ（７）",U76="新加算Ⅴ（10）"),IF(AS76="","未入力","入力済"),"")</f>
        <v/>
      </c>
      <c r="BF76" s="1493" t="str">
        <f>G74</f>
        <v/>
      </c>
      <c r="BG76" s="1493"/>
      <c r="BH76" s="1493"/>
    </row>
    <row r="77" spans="1:60" ht="30" customHeight="1" thickBot="1">
      <c r="A77" s="1227"/>
      <c r="B77" s="1376"/>
      <c r="C77" s="1377"/>
      <c r="D77" s="1377"/>
      <c r="E77" s="1377"/>
      <c r="F77" s="1378"/>
      <c r="G77" s="1267"/>
      <c r="H77" s="1267"/>
      <c r="I77" s="1267"/>
      <c r="J77" s="1373"/>
      <c r="K77" s="1267"/>
      <c r="L77" s="1452"/>
      <c r="M77" s="1454"/>
      <c r="N77" s="650" t="str">
        <f>IF('別紙様式2-2（４・５月分）'!Q61="","",'別紙様式2-2（４・５月分）'!Q61)</f>
        <v/>
      </c>
      <c r="O77" s="1369"/>
      <c r="P77" s="1391"/>
      <c r="Q77" s="1505"/>
      <c r="R77" s="1389"/>
      <c r="S77" s="1395"/>
      <c r="T77" s="1460"/>
      <c r="U77" s="1570"/>
      <c r="V77" s="1464"/>
      <c r="W77" s="1466"/>
      <c r="X77" s="1565"/>
      <c r="Y77" s="1408"/>
      <c r="Z77" s="1565"/>
      <c r="AA77" s="1408"/>
      <c r="AB77" s="1565"/>
      <c r="AC77" s="1408"/>
      <c r="AD77" s="1565"/>
      <c r="AE77" s="1408"/>
      <c r="AF77" s="1408"/>
      <c r="AG77" s="1408"/>
      <c r="AH77" s="1410"/>
      <c r="AI77" s="1412"/>
      <c r="AJ77" s="1578"/>
      <c r="AK77" s="1495"/>
      <c r="AL77" s="1580"/>
      <c r="AM77" s="1586"/>
      <c r="AN77" s="1549"/>
      <c r="AO77" s="1555"/>
      <c r="AP77" s="1553"/>
      <c r="AQ77" s="1555"/>
      <c r="AR77" s="1557"/>
      <c r="AS77" s="1559"/>
      <c r="AT77" s="672" t="str">
        <f t="shared" ref="AT77" si="71">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42"/>
      <c r="AV77" s="1493"/>
      <c r="AW77" s="652" t="str">
        <f>IF('別紙様式2-2（４・５月分）'!O61="","",'別紙様式2-2（４・５月分）'!O61)</f>
        <v/>
      </c>
      <c r="AX77" s="1507"/>
      <c r="AY77" s="673"/>
      <c r="AZ77" s="1321" t="str">
        <f>IF(OR(U77="新加算Ⅰ",U77="新加算Ⅱ",U77="新加算Ⅲ",U77="新加算Ⅳ",U77="新加算Ⅴ（１）",U77="新加算Ⅴ（２）",U77="新加算Ⅴ（３）",U77="新加算ⅠⅤ（４）",U77="新加算Ⅴ（５）",U77="新加算Ⅴ（６）",U77="新加算Ⅴ（８）",U77="新加算Ⅴ（11）"),IF(AJ77="○","","未入力"),"")</f>
        <v/>
      </c>
      <c r="BA77" s="1321" t="str">
        <f>IF(OR(V77="新加算Ⅰ",V77="新加算Ⅱ",V77="新加算Ⅲ",V77="新加算Ⅳ",V77="新加算Ⅴ（１）",V77="新加算Ⅴ（２）",V77="新加算Ⅴ（３）",V77="新加算ⅠⅤ（４）",V77="新加算Ⅴ（５）",V77="新加算Ⅴ（６）",V77="新加算Ⅴ（８）",V77="新加算Ⅴ（11）"),IF(AK77="○","","未入力"),"")</f>
        <v/>
      </c>
      <c r="BB77" s="1321" t="str">
        <f>IF(OR(V77="新加算Ⅴ（７）",V77="新加算Ⅴ（９）",V77="新加算Ⅴ（10）",V77="新加算Ⅴ（12）",V77="新加算Ⅴ（13）",V77="新加算Ⅴ（14）"),IF(AL77="○","","未入力"),"")</f>
        <v/>
      </c>
      <c r="BC77" s="1321" t="str">
        <f>IF(OR(V77="新加算Ⅰ",V77="新加算Ⅱ",V77="新加算Ⅲ",V77="新加算Ⅴ（１）",V77="新加算Ⅴ（３）",V77="新加算Ⅴ（８）"),IF(AM77="○","","未入力"),"")</f>
        <v/>
      </c>
      <c r="BD77" s="1588"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493" t="str">
        <f>IF(AND(U77&lt;&gt;"（参考）令和７年度の移行予定",OR(V77="新加算Ⅰ",V77="新加算Ⅴ（１）",V77="新加算Ⅴ（２）",V77="新加算Ⅴ（５）",V77="新加算Ⅴ（７）",V77="新加算Ⅴ（10）")),IF(AO77="","未入力",IF(AO77="いずれも取得していない","要件を満たさない","")),"")</f>
        <v/>
      </c>
      <c r="BF77" s="1493" t="str">
        <f>G74</f>
        <v/>
      </c>
      <c r="BG77" s="1493"/>
      <c r="BH77" s="1493"/>
    </row>
    <row r="78" spans="1:60" ht="30" customHeight="1">
      <c r="A78" s="1225">
        <v>17</v>
      </c>
      <c r="B78" s="1271" t="str">
        <f>IF(基本情報入力シート!C70="","",基本情報入力シート!C70)</f>
        <v/>
      </c>
      <c r="C78" s="1259"/>
      <c r="D78" s="1259"/>
      <c r="E78" s="1259"/>
      <c r="F78" s="1260"/>
      <c r="G78" s="1265" t="str">
        <f>IF(基本情報入力シート!M70="","",基本情報入力シート!M70)</f>
        <v/>
      </c>
      <c r="H78" s="1265" t="str">
        <f>IF(基本情報入力シート!R70="","",基本情報入力シート!R70)</f>
        <v/>
      </c>
      <c r="I78" s="1265" t="str">
        <f>IF(基本情報入力シート!W70="","",基本情報入力シート!W70)</f>
        <v/>
      </c>
      <c r="J78" s="1379" t="str">
        <f>IF(基本情報入力シート!X70="","",基本情報入力シート!X70)</f>
        <v/>
      </c>
      <c r="K78" s="1265" t="str">
        <f>IF(基本情報入力シート!Y70="","",基本情報入力シート!Y70)</f>
        <v/>
      </c>
      <c r="L78" s="1450" t="str">
        <f>IF(基本情報入力シート!AB70="","",基本情報入力シート!AB70)</f>
        <v/>
      </c>
      <c r="M78" s="1447" t="str">
        <f>IF(基本情報入力シート!AC70="","",基本情報入力シート!AC70)</f>
        <v/>
      </c>
      <c r="N78" s="647" t="str">
        <f>IF('別紙様式2-2（４・５月分）'!Q62="","",'別紙様式2-2（４・５月分）'!Q62)</f>
        <v/>
      </c>
      <c r="O78" s="1366" t="str">
        <f>IF(SUM('別紙様式2-2（４・５月分）'!R62:R64)=0,"",SUM('別紙様式2-2（４・５月分）'!R62:R64))</f>
        <v/>
      </c>
      <c r="P78" s="1380" t="str">
        <f>IFERROR(VLOOKUP('別紙様式2-2（４・５月分）'!AR62,【参考】数式用!$AT$5:$AU$22,2,FALSE),"")</f>
        <v/>
      </c>
      <c r="Q78" s="1381"/>
      <c r="R78" s="1382"/>
      <c r="S78" s="1392" t="str">
        <f>IFERROR(VLOOKUP(K78,【参考】数式用!$A$5:$AB$27,MATCH(P78,【参考】数式用!$B$4:$AB$4,0)+1,0),"")</f>
        <v/>
      </c>
      <c r="T78" s="1413" t="s">
        <v>2258</v>
      </c>
      <c r="U78" s="1562" t="str">
        <f>IF('別紙様式2-3（６月以降分）'!U78="","",'別紙様式2-3（６月以降分）'!U78)</f>
        <v/>
      </c>
      <c r="V78" s="1457" t="str">
        <f>IFERROR(VLOOKUP(K78,【参考】数式用!$A$5:$AB$27,MATCH(U78,【参考】数式用!$B$4:$AB$4,0)+1,0),"")</f>
        <v/>
      </c>
      <c r="W78" s="1350" t="s">
        <v>19</v>
      </c>
      <c r="X78" s="1534">
        <f>'別紙様式2-3（６月以降分）'!X78</f>
        <v>6</v>
      </c>
      <c r="Y78" s="1354" t="s">
        <v>10</v>
      </c>
      <c r="Z78" s="1534">
        <f>'別紙様式2-3（６月以降分）'!Z78</f>
        <v>6</v>
      </c>
      <c r="AA78" s="1354" t="s">
        <v>45</v>
      </c>
      <c r="AB78" s="1534">
        <f>'別紙様式2-3（６月以降分）'!AB78</f>
        <v>7</v>
      </c>
      <c r="AC78" s="1354" t="s">
        <v>10</v>
      </c>
      <c r="AD78" s="1534">
        <f>'別紙様式2-3（６月以降分）'!AD78</f>
        <v>3</v>
      </c>
      <c r="AE78" s="1354" t="s">
        <v>2172</v>
      </c>
      <c r="AF78" s="1354" t="s">
        <v>24</v>
      </c>
      <c r="AG78" s="1354">
        <f>IF(X78&gt;=1,(AB78*12+AD78)-(X78*12+Z78)+1,"")</f>
        <v>10</v>
      </c>
      <c r="AH78" s="1360" t="s">
        <v>38</v>
      </c>
      <c r="AI78" s="1481" t="str">
        <f>'別紙様式2-3（６月以降分）'!AI78</f>
        <v/>
      </c>
      <c r="AJ78" s="1542" t="str">
        <f>'別紙様式2-3（６月以降分）'!AJ78</f>
        <v/>
      </c>
      <c r="AK78" s="1538">
        <f>'別紙様式2-3（６月以降分）'!AK78</f>
        <v>0</v>
      </c>
      <c r="AL78" s="1540" t="str">
        <f>IF('別紙様式2-3（６月以降分）'!AL78="","",'別紙様式2-3（６月以降分）'!AL78)</f>
        <v/>
      </c>
      <c r="AM78" s="1571">
        <f>'別紙様式2-3（６月以降分）'!AM78</f>
        <v>0</v>
      </c>
      <c r="AN78" s="1573" t="str">
        <f>IF('別紙様式2-3（６月以降分）'!AN78="","",'別紙様式2-3（６月以降分）'!AN78)</f>
        <v/>
      </c>
      <c r="AO78" s="1403" t="str">
        <f>IF('別紙様式2-3（６月以降分）'!AO78="","",'別紙様式2-3（６月以降分）'!AO78)</f>
        <v/>
      </c>
      <c r="AP78" s="1502" t="str">
        <f>IF('別紙様式2-3（６月以降分）'!AP78="","",'別紙様式2-3（６月以降分）'!AP78)</f>
        <v/>
      </c>
      <c r="AQ78" s="1403" t="str">
        <f>IF('別紙様式2-3（６月以降分）'!AQ78="","",'別紙様式2-3（６月以降分）'!AQ78)</f>
        <v/>
      </c>
      <c r="AR78" s="1583" t="str">
        <f>IF('別紙様式2-3（６月以降分）'!AR78="","",'別紙様式2-3（６月以降分）'!AR78)</f>
        <v/>
      </c>
      <c r="AS78" s="1536" t="str">
        <f>IF('別紙様式2-3（６月以降分）'!AS78="","",'別紙様式2-3（６月以降分）'!AS78)</f>
        <v/>
      </c>
      <c r="AT78" s="667" t="str">
        <f t="shared" ref="AT78" si="72">IF(AV80="","",IF(V80&lt;V78,"！加算の要件上は問題ありませんが、令和６年度当初の新加算の加算率と比較して、移行後の加算率が下がる計画になっています。",""))</f>
        <v/>
      </c>
      <c r="AU78" s="674"/>
      <c r="AV78" s="1233"/>
      <c r="AW78" s="652" t="str">
        <f>IF('別紙様式2-2（４・５月分）'!O62="","",'別紙様式2-2（４・５月分）'!O62)</f>
        <v/>
      </c>
      <c r="AX78" s="1507" t="str">
        <f>IF(SUM('別紙様式2-2（４・５月分）'!P62:P64)=0,"",SUM('別紙様式2-2（４・５月分）'!P62:P64))</f>
        <v/>
      </c>
      <c r="AY78" s="1590" t="str">
        <f>IFERROR(VLOOKUP(K78,【参考】数式用!$AJ$2:$AK$24,2,FALSE),"")</f>
        <v/>
      </c>
      <c r="AZ78" s="584"/>
      <c r="BE78" s="428"/>
      <c r="BF78" s="1493" t="str">
        <f>G78</f>
        <v/>
      </c>
      <c r="BG78" s="1493"/>
      <c r="BH78" s="1493"/>
    </row>
    <row r="79" spans="1:60" ht="15" customHeight="1">
      <c r="A79" s="1226"/>
      <c r="B79" s="1272"/>
      <c r="C79" s="1261"/>
      <c r="D79" s="1261"/>
      <c r="E79" s="1261"/>
      <c r="F79" s="1262"/>
      <c r="G79" s="1266"/>
      <c r="H79" s="1266"/>
      <c r="I79" s="1266"/>
      <c r="J79" s="1372"/>
      <c r="K79" s="1266"/>
      <c r="L79" s="1451"/>
      <c r="M79" s="1448"/>
      <c r="N79" s="1370" t="str">
        <f>IF('別紙様式2-2（４・５月分）'!Q63="","",'別紙様式2-2（４・５月分）'!Q63)</f>
        <v/>
      </c>
      <c r="O79" s="1367"/>
      <c r="P79" s="1383"/>
      <c r="Q79" s="1384"/>
      <c r="R79" s="1385"/>
      <c r="S79" s="1393"/>
      <c r="T79" s="1414"/>
      <c r="U79" s="1563"/>
      <c r="V79" s="1458"/>
      <c r="W79" s="1351"/>
      <c r="X79" s="1535"/>
      <c r="Y79" s="1355"/>
      <c r="Z79" s="1535"/>
      <c r="AA79" s="1355"/>
      <c r="AB79" s="1535"/>
      <c r="AC79" s="1355"/>
      <c r="AD79" s="1535"/>
      <c r="AE79" s="1355"/>
      <c r="AF79" s="1355"/>
      <c r="AG79" s="1355"/>
      <c r="AH79" s="1361"/>
      <c r="AI79" s="1482"/>
      <c r="AJ79" s="1543"/>
      <c r="AK79" s="1539"/>
      <c r="AL79" s="1541"/>
      <c r="AM79" s="1572"/>
      <c r="AN79" s="1574"/>
      <c r="AO79" s="1404"/>
      <c r="AP79" s="1533"/>
      <c r="AQ79" s="1404"/>
      <c r="AR79" s="1584"/>
      <c r="AS79" s="1537"/>
      <c r="AT79" s="1532" t="str">
        <f t="shared" ref="AT79" si="73">IF(AV80="","",IF(OR(AB80="",AB80&lt;&gt;7,AD80="",AD80&lt;&gt;3),"！算定期間の終わりが令和７年３月になっていません。年度内の廃止予定等がなければ、算定対象月を令和７年３月にしてください。",""))</f>
        <v/>
      </c>
      <c r="AU79" s="674"/>
      <c r="AV79" s="1493"/>
      <c r="AW79" s="1518" t="str">
        <f>IF('別紙様式2-2（４・５月分）'!O63="","",'別紙様式2-2（４・５月分）'!O63)</f>
        <v/>
      </c>
      <c r="AX79" s="1507"/>
      <c r="AY79" s="1589"/>
      <c r="AZ79" s="521"/>
      <c r="BE79" s="428"/>
      <c r="BF79" s="1493" t="str">
        <f>G78</f>
        <v/>
      </c>
      <c r="BG79" s="1493"/>
      <c r="BH79" s="1493"/>
    </row>
    <row r="80" spans="1:60" ht="15" customHeight="1">
      <c r="A80" s="1240"/>
      <c r="B80" s="1272"/>
      <c r="C80" s="1261"/>
      <c r="D80" s="1261"/>
      <c r="E80" s="1261"/>
      <c r="F80" s="1262"/>
      <c r="G80" s="1266"/>
      <c r="H80" s="1266"/>
      <c r="I80" s="1266"/>
      <c r="J80" s="1372"/>
      <c r="K80" s="1266"/>
      <c r="L80" s="1451"/>
      <c r="M80" s="1448"/>
      <c r="N80" s="1371"/>
      <c r="O80" s="1368"/>
      <c r="P80" s="1390" t="s">
        <v>2179</v>
      </c>
      <c r="Q80" s="1504" t="str">
        <f>IFERROR(VLOOKUP('別紙様式2-2（４・５月分）'!AR62,【参考】数式用!$AT$5:$AV$22,3,FALSE),"")</f>
        <v/>
      </c>
      <c r="R80" s="1388" t="s">
        <v>2190</v>
      </c>
      <c r="S80" s="1396" t="str">
        <f>IFERROR(VLOOKUP(K78,【参考】数式用!$A$5:$AB$27,MATCH(Q80,【参考】数式用!$B$4:$AB$4,0)+1,0),"")</f>
        <v/>
      </c>
      <c r="T80" s="1459" t="s">
        <v>2267</v>
      </c>
      <c r="U80" s="1569"/>
      <c r="V80" s="1463" t="str">
        <f>IFERROR(VLOOKUP(K78,【参考】数式用!$A$5:$AB$27,MATCH(U80,【参考】数式用!$B$4:$AB$4,0)+1,0),"")</f>
        <v/>
      </c>
      <c r="W80" s="1465" t="s">
        <v>19</v>
      </c>
      <c r="X80" s="1564"/>
      <c r="Y80" s="1407" t="s">
        <v>10</v>
      </c>
      <c r="Z80" s="1564"/>
      <c r="AA80" s="1407" t="s">
        <v>45</v>
      </c>
      <c r="AB80" s="1564"/>
      <c r="AC80" s="1407" t="s">
        <v>10</v>
      </c>
      <c r="AD80" s="1564"/>
      <c r="AE80" s="1407" t="s">
        <v>2172</v>
      </c>
      <c r="AF80" s="1407" t="s">
        <v>24</v>
      </c>
      <c r="AG80" s="1407" t="str">
        <f>IF(X80&gt;=1,(AB80*12+AD80)-(X80*12+Z80)+1,"")</f>
        <v/>
      </c>
      <c r="AH80" s="1409" t="s">
        <v>38</v>
      </c>
      <c r="AI80" s="1411" t="str">
        <f t="shared" ref="AI80" si="74">IFERROR(ROUNDDOWN(ROUND(L78*V80,0)*M78,0)*AG80,"")</f>
        <v/>
      </c>
      <c r="AJ80" s="1577" t="str">
        <f>IFERROR(ROUNDDOWN(ROUND((L78*(V80-AX78)),0)*M78,0)*AG80,"")</f>
        <v/>
      </c>
      <c r="AK80" s="1494" t="str">
        <f>IFERROR(ROUNDDOWN(ROUNDDOWN(ROUND(L78*VLOOKUP(K78,【参考】数式用!$A$5:$AB$27,MATCH("新加算Ⅳ",【参考】数式用!$B$4:$AB$4,0)+1,0),0)*M78,0)*AG80*0.5,0),"")</f>
        <v/>
      </c>
      <c r="AL80" s="1579"/>
      <c r="AM80" s="1585" t="str">
        <f>IFERROR(IF('別紙様式2-2（４・５月分）'!Q64="ベア加算","", IF(OR(U80="新加算Ⅰ",U80="新加算Ⅱ",U80="新加算Ⅲ",U80="新加算Ⅳ"),ROUNDDOWN(ROUND(L78*VLOOKUP(K78,【参考】数式用!$A$5:$I$27,MATCH("ベア加算",【参考】数式用!$B$4:$I$4,0)+1,0),0)*M78,0)*AG80,"")),"")</f>
        <v/>
      </c>
      <c r="AN80" s="1548"/>
      <c r="AO80" s="1554"/>
      <c r="AP80" s="1552"/>
      <c r="AQ80" s="1554"/>
      <c r="AR80" s="1556"/>
      <c r="AS80" s="1558"/>
      <c r="AT80" s="1532"/>
      <c r="AU80" s="542"/>
      <c r="AV80" s="1493" t="str">
        <f t="shared" ref="AV80" si="75">IF(OR(AB78&lt;&gt;7,AD78&lt;&gt;3),"V列に色付け","")</f>
        <v/>
      </c>
      <c r="AW80" s="1518"/>
      <c r="AX80" s="1507"/>
      <c r="AY80" s="671"/>
      <c r="AZ80" s="1321" t="str">
        <f>IF(AM80&lt;&gt;"",IF(AN80="○","入力済","未入力"),"")</f>
        <v/>
      </c>
      <c r="BA80" s="1321"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321" t="str">
        <f>IF(OR(U80="新加算Ⅴ（７）",U80="新加算Ⅴ（９）",U80="新加算Ⅴ（10）",U80="新加算Ⅴ（12）",U80="新加算Ⅴ（13）",U80="新加算Ⅴ（14）"),IF(OR(AP80="○",AP80="令和６年度中に満たす"),"入力済","未入力"),"")</f>
        <v/>
      </c>
      <c r="BC80" s="1321" t="str">
        <f>IF(OR(U80="新加算Ⅰ",U80="新加算Ⅱ",U80="新加算Ⅲ",U80="新加算Ⅴ（１）",U80="新加算Ⅴ（３）",U80="新加算Ⅴ（８）"),IF(OR(AQ80="○",AQ80="令和６年度中に満たす"),"入力済","未入力"),"")</f>
        <v/>
      </c>
      <c r="BD80" s="1588"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493" t="str">
        <f>IF(OR(U80="新加算Ⅰ",U80="新加算Ⅴ（１）",U80="新加算Ⅴ（２）",U80="新加算Ⅴ（５）",U80="新加算Ⅴ（７）",U80="新加算Ⅴ（10）"),IF(AS80="","未入力","入力済"),"")</f>
        <v/>
      </c>
      <c r="BF80" s="1493" t="str">
        <f>G78</f>
        <v/>
      </c>
      <c r="BG80" s="1493"/>
      <c r="BH80" s="1493"/>
    </row>
    <row r="81" spans="1:60" ht="30" customHeight="1" thickBot="1">
      <c r="A81" s="1227"/>
      <c r="B81" s="1376"/>
      <c r="C81" s="1377"/>
      <c r="D81" s="1377"/>
      <c r="E81" s="1377"/>
      <c r="F81" s="1378"/>
      <c r="G81" s="1267"/>
      <c r="H81" s="1267"/>
      <c r="I81" s="1267"/>
      <c r="J81" s="1373"/>
      <c r="K81" s="1267"/>
      <c r="L81" s="1452"/>
      <c r="M81" s="1449"/>
      <c r="N81" s="650" t="str">
        <f>IF('別紙様式2-2（４・５月分）'!Q64="","",'別紙様式2-2（４・５月分）'!Q64)</f>
        <v/>
      </c>
      <c r="O81" s="1369"/>
      <c r="P81" s="1391"/>
      <c r="Q81" s="1505"/>
      <c r="R81" s="1389"/>
      <c r="S81" s="1395"/>
      <c r="T81" s="1460"/>
      <c r="U81" s="1570"/>
      <c r="V81" s="1464"/>
      <c r="W81" s="1466"/>
      <c r="X81" s="1565"/>
      <c r="Y81" s="1408"/>
      <c r="Z81" s="1565"/>
      <c r="AA81" s="1408"/>
      <c r="AB81" s="1565"/>
      <c r="AC81" s="1408"/>
      <c r="AD81" s="1565"/>
      <c r="AE81" s="1408"/>
      <c r="AF81" s="1408"/>
      <c r="AG81" s="1408"/>
      <c r="AH81" s="1410"/>
      <c r="AI81" s="1412"/>
      <c r="AJ81" s="1578"/>
      <c r="AK81" s="1495"/>
      <c r="AL81" s="1580"/>
      <c r="AM81" s="1586"/>
      <c r="AN81" s="1549"/>
      <c r="AO81" s="1555"/>
      <c r="AP81" s="1553"/>
      <c r="AQ81" s="1555"/>
      <c r="AR81" s="1557"/>
      <c r="AS81" s="1559"/>
      <c r="AT81" s="672" t="str">
        <f t="shared" ref="AT81" si="76">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42"/>
      <c r="AV81" s="1493"/>
      <c r="AW81" s="652" t="str">
        <f>IF('別紙様式2-2（４・５月分）'!O64="","",'別紙様式2-2（４・５月分）'!O64)</f>
        <v/>
      </c>
      <c r="AX81" s="1507"/>
      <c r="AY81" s="673"/>
      <c r="AZ81" s="1321" t="str">
        <f>IF(OR(U81="新加算Ⅰ",U81="新加算Ⅱ",U81="新加算Ⅲ",U81="新加算Ⅳ",U81="新加算Ⅴ（１）",U81="新加算Ⅴ（２）",U81="新加算Ⅴ（３）",U81="新加算ⅠⅤ（４）",U81="新加算Ⅴ（５）",U81="新加算Ⅴ（６）",U81="新加算Ⅴ（８）",U81="新加算Ⅴ（11）"),IF(AJ81="○","","未入力"),"")</f>
        <v/>
      </c>
      <c r="BA81" s="1321" t="str">
        <f>IF(OR(V81="新加算Ⅰ",V81="新加算Ⅱ",V81="新加算Ⅲ",V81="新加算Ⅳ",V81="新加算Ⅴ（１）",V81="新加算Ⅴ（２）",V81="新加算Ⅴ（３）",V81="新加算ⅠⅤ（４）",V81="新加算Ⅴ（５）",V81="新加算Ⅴ（６）",V81="新加算Ⅴ（８）",V81="新加算Ⅴ（11）"),IF(AK81="○","","未入力"),"")</f>
        <v/>
      </c>
      <c r="BB81" s="1321" t="str">
        <f>IF(OR(V81="新加算Ⅴ（７）",V81="新加算Ⅴ（９）",V81="新加算Ⅴ（10）",V81="新加算Ⅴ（12）",V81="新加算Ⅴ（13）",V81="新加算Ⅴ（14）"),IF(AL81="○","","未入力"),"")</f>
        <v/>
      </c>
      <c r="BC81" s="1321" t="str">
        <f>IF(OR(V81="新加算Ⅰ",V81="新加算Ⅱ",V81="新加算Ⅲ",V81="新加算Ⅴ（１）",V81="新加算Ⅴ（３）",V81="新加算Ⅴ（８）"),IF(AM81="○","","未入力"),"")</f>
        <v/>
      </c>
      <c r="BD81" s="1588"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493" t="str">
        <f>IF(AND(U81&lt;&gt;"（参考）令和７年度の移行予定",OR(V81="新加算Ⅰ",V81="新加算Ⅴ（１）",V81="新加算Ⅴ（２）",V81="新加算Ⅴ（５）",V81="新加算Ⅴ（７）",V81="新加算Ⅴ（10）")),IF(AO81="","未入力",IF(AO81="いずれも取得していない","要件を満たさない","")),"")</f>
        <v/>
      </c>
      <c r="BF81" s="1493" t="str">
        <f>G78</f>
        <v/>
      </c>
      <c r="BG81" s="1493"/>
      <c r="BH81" s="1493"/>
    </row>
    <row r="82" spans="1:60" ht="30" customHeight="1">
      <c r="A82" s="1241">
        <v>18</v>
      </c>
      <c r="B82" s="1272" t="str">
        <f>IF(基本情報入力シート!C71="","",基本情報入力シート!C71)</f>
        <v/>
      </c>
      <c r="C82" s="1261"/>
      <c r="D82" s="1261"/>
      <c r="E82" s="1261"/>
      <c r="F82" s="1262"/>
      <c r="G82" s="1266" t="str">
        <f>IF(基本情報入力シート!M71="","",基本情報入力シート!M71)</f>
        <v/>
      </c>
      <c r="H82" s="1266" t="str">
        <f>IF(基本情報入力シート!R71="","",基本情報入力シート!R71)</f>
        <v/>
      </c>
      <c r="I82" s="1266" t="str">
        <f>IF(基本情報入力シート!W71="","",基本情報入力シート!W71)</f>
        <v/>
      </c>
      <c r="J82" s="1372" t="str">
        <f>IF(基本情報入力シート!X71="","",基本情報入力シート!X71)</f>
        <v/>
      </c>
      <c r="K82" s="1266" t="str">
        <f>IF(基本情報入力シート!Y71="","",基本情報入力シート!Y71)</f>
        <v/>
      </c>
      <c r="L82" s="1451" t="str">
        <f>IF(基本情報入力シート!AB71="","",基本情報入力シート!AB71)</f>
        <v/>
      </c>
      <c r="M82" s="1453" t="str">
        <f>IF(基本情報入力シート!AC71="","",基本情報入力シート!AC71)</f>
        <v/>
      </c>
      <c r="N82" s="647" t="str">
        <f>IF('別紙様式2-2（４・５月分）'!Q65="","",'別紙様式2-2（４・５月分）'!Q65)</f>
        <v/>
      </c>
      <c r="O82" s="1366" t="str">
        <f>IF(SUM('別紙様式2-2（４・５月分）'!R65:R67)=0,"",SUM('別紙様式2-2（４・５月分）'!R65:R67))</f>
        <v/>
      </c>
      <c r="P82" s="1380" t="str">
        <f>IFERROR(VLOOKUP('別紙様式2-2（４・５月分）'!AR65,【参考】数式用!$AT$5:$AU$22,2,FALSE),"")</f>
        <v/>
      </c>
      <c r="Q82" s="1381"/>
      <c r="R82" s="1382"/>
      <c r="S82" s="1392" t="str">
        <f>IFERROR(VLOOKUP(K82,【参考】数式用!$A$5:$AB$27,MATCH(P82,【参考】数式用!$B$4:$AB$4,0)+1,0),"")</f>
        <v/>
      </c>
      <c r="T82" s="1413" t="s">
        <v>2258</v>
      </c>
      <c r="U82" s="1562" t="str">
        <f>IF('別紙様式2-3（６月以降分）'!U82="","",'別紙様式2-3（６月以降分）'!U82)</f>
        <v/>
      </c>
      <c r="V82" s="1457" t="str">
        <f>IFERROR(VLOOKUP(K82,【参考】数式用!$A$5:$AB$27,MATCH(U82,【参考】数式用!$B$4:$AB$4,0)+1,0),"")</f>
        <v/>
      </c>
      <c r="W82" s="1350" t="s">
        <v>19</v>
      </c>
      <c r="X82" s="1534">
        <f>'別紙様式2-3（６月以降分）'!X82</f>
        <v>6</v>
      </c>
      <c r="Y82" s="1354" t="s">
        <v>10</v>
      </c>
      <c r="Z82" s="1534">
        <f>'別紙様式2-3（６月以降分）'!Z82</f>
        <v>6</v>
      </c>
      <c r="AA82" s="1354" t="s">
        <v>45</v>
      </c>
      <c r="AB82" s="1534">
        <f>'別紙様式2-3（６月以降分）'!AB82</f>
        <v>7</v>
      </c>
      <c r="AC82" s="1354" t="s">
        <v>10</v>
      </c>
      <c r="AD82" s="1534">
        <f>'別紙様式2-3（６月以降分）'!AD82</f>
        <v>3</v>
      </c>
      <c r="AE82" s="1354" t="s">
        <v>2172</v>
      </c>
      <c r="AF82" s="1354" t="s">
        <v>24</v>
      </c>
      <c r="AG82" s="1354">
        <f>IF(X82&gt;=1,(AB82*12+AD82)-(X82*12+Z82)+1,"")</f>
        <v>10</v>
      </c>
      <c r="AH82" s="1360" t="s">
        <v>38</v>
      </c>
      <c r="AI82" s="1481" t="str">
        <f>'別紙様式2-3（６月以降分）'!AI82</f>
        <v/>
      </c>
      <c r="AJ82" s="1542" t="str">
        <f>'別紙様式2-3（６月以降分）'!AJ82</f>
        <v/>
      </c>
      <c r="AK82" s="1538">
        <f>'別紙様式2-3（６月以降分）'!AK82</f>
        <v>0</v>
      </c>
      <c r="AL82" s="1540" t="str">
        <f>IF('別紙様式2-3（６月以降分）'!AL82="","",'別紙様式2-3（６月以降分）'!AL82)</f>
        <v/>
      </c>
      <c r="AM82" s="1571">
        <f>'別紙様式2-3（６月以降分）'!AM82</f>
        <v>0</v>
      </c>
      <c r="AN82" s="1573" t="str">
        <f>IF('別紙様式2-3（６月以降分）'!AN82="","",'別紙様式2-3（６月以降分）'!AN82)</f>
        <v/>
      </c>
      <c r="AO82" s="1403" t="str">
        <f>IF('別紙様式2-3（６月以降分）'!AO82="","",'別紙様式2-3（６月以降分）'!AO82)</f>
        <v/>
      </c>
      <c r="AP82" s="1502" t="str">
        <f>IF('別紙様式2-3（６月以降分）'!AP82="","",'別紙様式2-3（６月以降分）'!AP82)</f>
        <v/>
      </c>
      <c r="AQ82" s="1403" t="str">
        <f>IF('別紙様式2-3（６月以降分）'!AQ82="","",'別紙様式2-3（６月以降分）'!AQ82)</f>
        <v/>
      </c>
      <c r="AR82" s="1583" t="str">
        <f>IF('別紙様式2-3（６月以降分）'!AR82="","",'別紙様式2-3（６月以降分）'!AR82)</f>
        <v/>
      </c>
      <c r="AS82" s="1536" t="str">
        <f>IF('別紙様式2-3（６月以降分）'!AS82="","",'別紙様式2-3（６月以降分）'!AS82)</f>
        <v/>
      </c>
      <c r="AT82" s="667" t="str">
        <f t="shared" ref="AT82" si="77">IF(AV84="","",IF(V84&lt;V82,"！加算の要件上は問題ありませんが、令和６年度当初の新加算の加算率と比較して、移行後の加算率が下がる計画になっています。",""))</f>
        <v/>
      </c>
      <c r="AU82" s="674"/>
      <c r="AV82" s="1233"/>
      <c r="AW82" s="652" t="str">
        <f>IF('別紙様式2-2（４・５月分）'!O65="","",'別紙様式2-2（４・５月分）'!O65)</f>
        <v/>
      </c>
      <c r="AX82" s="1507" t="str">
        <f>IF(SUM('別紙様式2-2（４・５月分）'!P65:P67)=0,"",SUM('別紙様式2-2（４・５月分）'!P65:P67))</f>
        <v/>
      </c>
      <c r="AY82" s="1589" t="str">
        <f>IFERROR(VLOOKUP(K82,【参考】数式用!$AJ$2:$AK$24,2,FALSE),"")</f>
        <v/>
      </c>
      <c r="AZ82" s="584"/>
      <c r="BE82" s="428"/>
      <c r="BF82" s="1493" t="str">
        <f>G82</f>
        <v/>
      </c>
      <c r="BG82" s="1493"/>
      <c r="BH82" s="1493"/>
    </row>
    <row r="83" spans="1:60" ht="15" customHeight="1">
      <c r="A83" s="1226"/>
      <c r="B83" s="1272"/>
      <c r="C83" s="1261"/>
      <c r="D83" s="1261"/>
      <c r="E83" s="1261"/>
      <c r="F83" s="1262"/>
      <c r="G83" s="1266"/>
      <c r="H83" s="1266"/>
      <c r="I83" s="1266"/>
      <c r="J83" s="1372"/>
      <c r="K83" s="1266"/>
      <c r="L83" s="1451"/>
      <c r="M83" s="1453"/>
      <c r="N83" s="1370" t="str">
        <f>IF('別紙様式2-2（４・５月分）'!Q66="","",'別紙様式2-2（４・５月分）'!Q66)</f>
        <v/>
      </c>
      <c r="O83" s="1367"/>
      <c r="P83" s="1383"/>
      <c r="Q83" s="1384"/>
      <c r="R83" s="1385"/>
      <c r="S83" s="1393"/>
      <c r="T83" s="1414"/>
      <c r="U83" s="1563"/>
      <c r="V83" s="1458"/>
      <c r="W83" s="1351"/>
      <c r="X83" s="1535"/>
      <c r="Y83" s="1355"/>
      <c r="Z83" s="1535"/>
      <c r="AA83" s="1355"/>
      <c r="AB83" s="1535"/>
      <c r="AC83" s="1355"/>
      <c r="AD83" s="1535"/>
      <c r="AE83" s="1355"/>
      <c r="AF83" s="1355"/>
      <c r="AG83" s="1355"/>
      <c r="AH83" s="1361"/>
      <c r="AI83" s="1482"/>
      <c r="AJ83" s="1543"/>
      <c r="AK83" s="1539"/>
      <c r="AL83" s="1541"/>
      <c r="AM83" s="1572"/>
      <c r="AN83" s="1574"/>
      <c r="AO83" s="1404"/>
      <c r="AP83" s="1533"/>
      <c r="AQ83" s="1404"/>
      <c r="AR83" s="1584"/>
      <c r="AS83" s="1537"/>
      <c r="AT83" s="1532" t="str">
        <f t="shared" ref="AT83" si="78">IF(AV84="","",IF(OR(AB84="",AB84&lt;&gt;7,AD84="",AD84&lt;&gt;3),"！算定期間の終わりが令和７年３月になっていません。年度内の廃止予定等がなければ、算定対象月を令和７年３月にしてください。",""))</f>
        <v/>
      </c>
      <c r="AU83" s="674"/>
      <c r="AV83" s="1493"/>
      <c r="AW83" s="1518" t="str">
        <f>IF('別紙様式2-2（４・５月分）'!O66="","",'別紙様式2-2（４・５月分）'!O66)</f>
        <v/>
      </c>
      <c r="AX83" s="1507"/>
      <c r="AY83" s="1589"/>
      <c r="AZ83" s="521"/>
      <c r="BE83" s="428"/>
      <c r="BF83" s="1493" t="str">
        <f>G82</f>
        <v/>
      </c>
      <c r="BG83" s="1493"/>
      <c r="BH83" s="1493"/>
    </row>
    <row r="84" spans="1:60" ht="15" customHeight="1">
      <c r="A84" s="1240"/>
      <c r="B84" s="1272"/>
      <c r="C84" s="1261"/>
      <c r="D84" s="1261"/>
      <c r="E84" s="1261"/>
      <c r="F84" s="1262"/>
      <c r="G84" s="1266"/>
      <c r="H84" s="1266"/>
      <c r="I84" s="1266"/>
      <c r="J84" s="1372"/>
      <c r="K84" s="1266"/>
      <c r="L84" s="1451"/>
      <c r="M84" s="1453"/>
      <c r="N84" s="1371"/>
      <c r="O84" s="1368"/>
      <c r="P84" s="1390" t="s">
        <v>2179</v>
      </c>
      <c r="Q84" s="1504" t="str">
        <f>IFERROR(VLOOKUP('別紙様式2-2（４・５月分）'!AR65,【参考】数式用!$AT$5:$AV$22,3,FALSE),"")</f>
        <v/>
      </c>
      <c r="R84" s="1388" t="s">
        <v>2190</v>
      </c>
      <c r="S84" s="1394" t="str">
        <f>IFERROR(VLOOKUP(K82,【参考】数式用!$A$5:$AB$27,MATCH(Q84,【参考】数式用!$B$4:$AB$4,0)+1,0),"")</f>
        <v/>
      </c>
      <c r="T84" s="1459" t="s">
        <v>2267</v>
      </c>
      <c r="U84" s="1569"/>
      <c r="V84" s="1463" t="str">
        <f>IFERROR(VLOOKUP(K82,【参考】数式用!$A$5:$AB$27,MATCH(U84,【参考】数式用!$B$4:$AB$4,0)+1,0),"")</f>
        <v/>
      </c>
      <c r="W84" s="1465" t="s">
        <v>19</v>
      </c>
      <c r="X84" s="1564"/>
      <c r="Y84" s="1407" t="s">
        <v>10</v>
      </c>
      <c r="Z84" s="1564"/>
      <c r="AA84" s="1407" t="s">
        <v>45</v>
      </c>
      <c r="AB84" s="1564"/>
      <c r="AC84" s="1407" t="s">
        <v>10</v>
      </c>
      <c r="AD84" s="1564"/>
      <c r="AE84" s="1407" t="s">
        <v>2172</v>
      </c>
      <c r="AF84" s="1407" t="s">
        <v>24</v>
      </c>
      <c r="AG84" s="1407" t="str">
        <f>IF(X84&gt;=1,(AB84*12+AD84)-(X84*12+Z84)+1,"")</f>
        <v/>
      </c>
      <c r="AH84" s="1409" t="s">
        <v>38</v>
      </c>
      <c r="AI84" s="1411" t="str">
        <f t="shared" ref="AI84" si="79">IFERROR(ROUNDDOWN(ROUND(L82*V84,0)*M82,0)*AG84,"")</f>
        <v/>
      </c>
      <c r="AJ84" s="1577" t="str">
        <f>IFERROR(ROUNDDOWN(ROUND((L82*(V84-AX82)),0)*M82,0)*AG84,"")</f>
        <v/>
      </c>
      <c r="AK84" s="1494" t="str">
        <f>IFERROR(ROUNDDOWN(ROUNDDOWN(ROUND(L82*VLOOKUP(K82,【参考】数式用!$A$5:$AB$27,MATCH("新加算Ⅳ",【参考】数式用!$B$4:$AB$4,0)+1,0),0)*M82,0)*AG84*0.5,0),"")</f>
        <v/>
      </c>
      <c r="AL84" s="1579"/>
      <c r="AM84" s="1585" t="str">
        <f>IFERROR(IF('別紙様式2-2（４・５月分）'!Q67="ベア加算","", IF(OR(U84="新加算Ⅰ",U84="新加算Ⅱ",U84="新加算Ⅲ",U84="新加算Ⅳ"),ROUNDDOWN(ROUND(L82*VLOOKUP(K82,【参考】数式用!$A$5:$I$27,MATCH("ベア加算",【参考】数式用!$B$4:$I$4,0)+1,0),0)*M82,0)*AG84,"")),"")</f>
        <v/>
      </c>
      <c r="AN84" s="1548"/>
      <c r="AO84" s="1554"/>
      <c r="AP84" s="1552"/>
      <c r="AQ84" s="1554"/>
      <c r="AR84" s="1556"/>
      <c r="AS84" s="1558"/>
      <c r="AT84" s="1532"/>
      <c r="AU84" s="542"/>
      <c r="AV84" s="1493" t="str">
        <f t="shared" ref="AV84" si="80">IF(OR(AB82&lt;&gt;7,AD82&lt;&gt;3),"V列に色付け","")</f>
        <v/>
      </c>
      <c r="AW84" s="1518"/>
      <c r="AX84" s="1507"/>
      <c r="AY84" s="671"/>
      <c r="AZ84" s="1321" t="str">
        <f>IF(AM84&lt;&gt;"",IF(AN84="○","入力済","未入力"),"")</f>
        <v/>
      </c>
      <c r="BA84" s="1321"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321" t="str">
        <f>IF(OR(U84="新加算Ⅴ（７）",U84="新加算Ⅴ（９）",U84="新加算Ⅴ（10）",U84="新加算Ⅴ（12）",U84="新加算Ⅴ（13）",U84="新加算Ⅴ（14）"),IF(OR(AP84="○",AP84="令和６年度中に満たす"),"入力済","未入力"),"")</f>
        <v/>
      </c>
      <c r="BC84" s="1321" t="str">
        <f>IF(OR(U84="新加算Ⅰ",U84="新加算Ⅱ",U84="新加算Ⅲ",U84="新加算Ⅴ（１）",U84="新加算Ⅴ（３）",U84="新加算Ⅴ（８）"),IF(OR(AQ84="○",AQ84="令和６年度中に満たす"),"入力済","未入力"),"")</f>
        <v/>
      </c>
      <c r="BD84" s="1588"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493" t="str">
        <f>IF(OR(U84="新加算Ⅰ",U84="新加算Ⅴ（１）",U84="新加算Ⅴ（２）",U84="新加算Ⅴ（５）",U84="新加算Ⅴ（７）",U84="新加算Ⅴ（10）"),IF(AS84="","未入力","入力済"),"")</f>
        <v/>
      </c>
      <c r="BF84" s="1493" t="str">
        <f>G82</f>
        <v/>
      </c>
      <c r="BG84" s="1493"/>
      <c r="BH84" s="1493"/>
    </row>
    <row r="85" spans="1:60" ht="30" customHeight="1" thickBot="1">
      <c r="A85" s="1227"/>
      <c r="B85" s="1376"/>
      <c r="C85" s="1377"/>
      <c r="D85" s="1377"/>
      <c r="E85" s="1377"/>
      <c r="F85" s="1378"/>
      <c r="G85" s="1267"/>
      <c r="H85" s="1267"/>
      <c r="I85" s="1267"/>
      <c r="J85" s="1373"/>
      <c r="K85" s="1267"/>
      <c r="L85" s="1452"/>
      <c r="M85" s="1454"/>
      <c r="N85" s="650" t="str">
        <f>IF('別紙様式2-2（４・５月分）'!Q67="","",'別紙様式2-2（４・５月分）'!Q67)</f>
        <v/>
      </c>
      <c r="O85" s="1369"/>
      <c r="P85" s="1391"/>
      <c r="Q85" s="1505"/>
      <c r="R85" s="1389"/>
      <c r="S85" s="1395"/>
      <c r="T85" s="1460"/>
      <c r="U85" s="1570"/>
      <c r="V85" s="1464"/>
      <c r="W85" s="1466"/>
      <c r="X85" s="1565"/>
      <c r="Y85" s="1408"/>
      <c r="Z85" s="1565"/>
      <c r="AA85" s="1408"/>
      <c r="AB85" s="1565"/>
      <c r="AC85" s="1408"/>
      <c r="AD85" s="1565"/>
      <c r="AE85" s="1408"/>
      <c r="AF85" s="1408"/>
      <c r="AG85" s="1408"/>
      <c r="AH85" s="1410"/>
      <c r="AI85" s="1412"/>
      <c r="AJ85" s="1578"/>
      <c r="AK85" s="1495"/>
      <c r="AL85" s="1580"/>
      <c r="AM85" s="1586"/>
      <c r="AN85" s="1549"/>
      <c r="AO85" s="1555"/>
      <c r="AP85" s="1553"/>
      <c r="AQ85" s="1555"/>
      <c r="AR85" s="1557"/>
      <c r="AS85" s="1559"/>
      <c r="AT85" s="672" t="str">
        <f t="shared" ref="AT85" si="81">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42"/>
      <c r="AV85" s="1493"/>
      <c r="AW85" s="652" t="str">
        <f>IF('別紙様式2-2（４・５月分）'!O67="","",'別紙様式2-2（４・５月分）'!O67)</f>
        <v/>
      </c>
      <c r="AX85" s="1507"/>
      <c r="AY85" s="673"/>
      <c r="AZ85" s="1321" t="str">
        <f>IF(OR(U85="新加算Ⅰ",U85="新加算Ⅱ",U85="新加算Ⅲ",U85="新加算Ⅳ",U85="新加算Ⅴ（１）",U85="新加算Ⅴ（２）",U85="新加算Ⅴ（３）",U85="新加算ⅠⅤ（４）",U85="新加算Ⅴ（５）",U85="新加算Ⅴ（６）",U85="新加算Ⅴ（８）",U85="新加算Ⅴ（11）"),IF(AJ85="○","","未入力"),"")</f>
        <v/>
      </c>
      <c r="BA85" s="1321" t="str">
        <f>IF(OR(V85="新加算Ⅰ",V85="新加算Ⅱ",V85="新加算Ⅲ",V85="新加算Ⅳ",V85="新加算Ⅴ（１）",V85="新加算Ⅴ（２）",V85="新加算Ⅴ（３）",V85="新加算ⅠⅤ（４）",V85="新加算Ⅴ（５）",V85="新加算Ⅴ（６）",V85="新加算Ⅴ（８）",V85="新加算Ⅴ（11）"),IF(AK85="○","","未入力"),"")</f>
        <v/>
      </c>
      <c r="BB85" s="1321" t="str">
        <f>IF(OR(V85="新加算Ⅴ（７）",V85="新加算Ⅴ（９）",V85="新加算Ⅴ（10）",V85="新加算Ⅴ（12）",V85="新加算Ⅴ（13）",V85="新加算Ⅴ（14）"),IF(AL85="○","","未入力"),"")</f>
        <v/>
      </c>
      <c r="BC85" s="1321" t="str">
        <f>IF(OR(V85="新加算Ⅰ",V85="新加算Ⅱ",V85="新加算Ⅲ",V85="新加算Ⅴ（１）",V85="新加算Ⅴ（３）",V85="新加算Ⅴ（８）"),IF(AM85="○","","未入力"),"")</f>
        <v/>
      </c>
      <c r="BD85" s="1588"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493" t="str">
        <f>IF(AND(U85&lt;&gt;"（参考）令和７年度の移行予定",OR(V85="新加算Ⅰ",V85="新加算Ⅴ（１）",V85="新加算Ⅴ（２）",V85="新加算Ⅴ（５）",V85="新加算Ⅴ（７）",V85="新加算Ⅴ（10）")),IF(AO85="","未入力",IF(AO85="いずれも取得していない","要件を満たさない","")),"")</f>
        <v/>
      </c>
      <c r="BF85" s="1493" t="str">
        <f>G82</f>
        <v/>
      </c>
      <c r="BG85" s="1493"/>
      <c r="BH85" s="1493"/>
    </row>
    <row r="86" spans="1:60" ht="30" customHeight="1">
      <c r="A86" s="1225">
        <v>19</v>
      </c>
      <c r="B86" s="1271" t="str">
        <f>IF(基本情報入力シート!C72="","",基本情報入力シート!C72)</f>
        <v/>
      </c>
      <c r="C86" s="1259"/>
      <c r="D86" s="1259"/>
      <c r="E86" s="1259"/>
      <c r="F86" s="1260"/>
      <c r="G86" s="1265" t="str">
        <f>IF(基本情報入力シート!M72="","",基本情報入力シート!M72)</f>
        <v/>
      </c>
      <c r="H86" s="1265" t="str">
        <f>IF(基本情報入力シート!R72="","",基本情報入力シート!R72)</f>
        <v/>
      </c>
      <c r="I86" s="1265" t="str">
        <f>IF(基本情報入力シート!W72="","",基本情報入力シート!W72)</f>
        <v/>
      </c>
      <c r="J86" s="1379" t="str">
        <f>IF(基本情報入力シート!X72="","",基本情報入力シート!X72)</f>
        <v/>
      </c>
      <c r="K86" s="1265" t="str">
        <f>IF(基本情報入力シート!Y72="","",基本情報入力シート!Y72)</f>
        <v/>
      </c>
      <c r="L86" s="1450" t="str">
        <f>IF(基本情報入力シート!AB72="","",基本情報入力シート!AB72)</f>
        <v/>
      </c>
      <c r="M86" s="1447" t="str">
        <f>IF(基本情報入力シート!AC72="","",基本情報入力シート!AC72)</f>
        <v/>
      </c>
      <c r="N86" s="647" t="str">
        <f>IF('別紙様式2-2（４・５月分）'!Q68="","",'別紙様式2-2（４・５月分）'!Q68)</f>
        <v/>
      </c>
      <c r="O86" s="1366" t="str">
        <f>IF(SUM('別紙様式2-2（４・５月分）'!R68:R70)=0,"",SUM('別紙様式2-2（４・５月分）'!R68:R70))</f>
        <v/>
      </c>
      <c r="P86" s="1380" t="str">
        <f>IFERROR(VLOOKUP('別紙様式2-2（４・５月分）'!AR68,【参考】数式用!$AT$5:$AU$22,2,FALSE),"")</f>
        <v/>
      </c>
      <c r="Q86" s="1381"/>
      <c r="R86" s="1382"/>
      <c r="S86" s="1392" t="str">
        <f>IFERROR(VLOOKUP(K86,【参考】数式用!$A$5:$AB$27,MATCH(P86,【参考】数式用!$B$4:$AB$4,0)+1,0),"")</f>
        <v/>
      </c>
      <c r="T86" s="1413" t="s">
        <v>2258</v>
      </c>
      <c r="U86" s="1562" t="str">
        <f>IF('別紙様式2-3（６月以降分）'!U86="","",'別紙様式2-3（６月以降分）'!U86)</f>
        <v/>
      </c>
      <c r="V86" s="1457" t="str">
        <f>IFERROR(VLOOKUP(K86,【参考】数式用!$A$5:$AB$27,MATCH(U86,【参考】数式用!$B$4:$AB$4,0)+1,0),"")</f>
        <v/>
      </c>
      <c r="W86" s="1350" t="s">
        <v>19</v>
      </c>
      <c r="X86" s="1534">
        <f>'別紙様式2-3（６月以降分）'!X86</f>
        <v>6</v>
      </c>
      <c r="Y86" s="1354" t="s">
        <v>10</v>
      </c>
      <c r="Z86" s="1534">
        <f>'別紙様式2-3（６月以降分）'!Z86</f>
        <v>6</v>
      </c>
      <c r="AA86" s="1354" t="s">
        <v>45</v>
      </c>
      <c r="AB86" s="1534">
        <f>'別紙様式2-3（６月以降分）'!AB86</f>
        <v>7</v>
      </c>
      <c r="AC86" s="1354" t="s">
        <v>10</v>
      </c>
      <c r="AD86" s="1534">
        <f>'別紙様式2-3（６月以降分）'!AD86</f>
        <v>3</v>
      </c>
      <c r="AE86" s="1354" t="s">
        <v>2172</v>
      </c>
      <c r="AF86" s="1354" t="s">
        <v>24</v>
      </c>
      <c r="AG86" s="1354">
        <f>IF(X86&gt;=1,(AB86*12+AD86)-(X86*12+Z86)+1,"")</f>
        <v>10</v>
      </c>
      <c r="AH86" s="1360" t="s">
        <v>38</v>
      </c>
      <c r="AI86" s="1481" t="str">
        <f>'別紙様式2-3（６月以降分）'!AI86</f>
        <v/>
      </c>
      <c r="AJ86" s="1542" t="str">
        <f>'別紙様式2-3（６月以降分）'!AJ86</f>
        <v/>
      </c>
      <c r="AK86" s="1538">
        <f>'別紙様式2-3（６月以降分）'!AK86</f>
        <v>0</v>
      </c>
      <c r="AL86" s="1540" t="str">
        <f>IF('別紙様式2-3（６月以降分）'!AL86="","",'別紙様式2-3（６月以降分）'!AL86)</f>
        <v/>
      </c>
      <c r="AM86" s="1571">
        <f>'別紙様式2-3（６月以降分）'!AM86</f>
        <v>0</v>
      </c>
      <c r="AN86" s="1573" t="str">
        <f>IF('別紙様式2-3（６月以降分）'!AN86="","",'別紙様式2-3（６月以降分）'!AN86)</f>
        <v/>
      </c>
      <c r="AO86" s="1403" t="str">
        <f>IF('別紙様式2-3（６月以降分）'!AO86="","",'別紙様式2-3（６月以降分）'!AO86)</f>
        <v/>
      </c>
      <c r="AP86" s="1502" t="str">
        <f>IF('別紙様式2-3（６月以降分）'!AP86="","",'別紙様式2-3（６月以降分）'!AP86)</f>
        <v/>
      </c>
      <c r="AQ86" s="1403" t="str">
        <f>IF('別紙様式2-3（６月以降分）'!AQ86="","",'別紙様式2-3（６月以降分）'!AQ86)</f>
        <v/>
      </c>
      <c r="AR86" s="1583" t="str">
        <f>IF('別紙様式2-3（６月以降分）'!AR86="","",'別紙様式2-3（６月以降分）'!AR86)</f>
        <v/>
      </c>
      <c r="AS86" s="1536" t="str">
        <f>IF('別紙様式2-3（６月以降分）'!AS86="","",'別紙様式2-3（６月以降分）'!AS86)</f>
        <v/>
      </c>
      <c r="AT86" s="667" t="str">
        <f t="shared" ref="AT86" si="82">IF(AV88="","",IF(V88&lt;V86,"！加算の要件上は問題ありませんが、令和６年度当初の新加算の加算率と比較して、移行後の加算率が下がる計画になっています。",""))</f>
        <v/>
      </c>
      <c r="AU86" s="674"/>
      <c r="AV86" s="1233"/>
      <c r="AW86" s="652" t="str">
        <f>IF('別紙様式2-2（４・５月分）'!O68="","",'別紙様式2-2（４・５月分）'!O68)</f>
        <v/>
      </c>
      <c r="AX86" s="1507" t="str">
        <f>IF(SUM('別紙様式2-2（４・５月分）'!P68:P70)=0,"",SUM('別紙様式2-2（４・５月分）'!P68:P70))</f>
        <v/>
      </c>
      <c r="AY86" s="1590" t="str">
        <f>IFERROR(VLOOKUP(K86,【参考】数式用!$AJ$2:$AK$24,2,FALSE),"")</f>
        <v/>
      </c>
      <c r="AZ86" s="584"/>
      <c r="BE86" s="428"/>
      <c r="BF86" s="1493" t="str">
        <f>G86</f>
        <v/>
      </c>
      <c r="BG86" s="1493"/>
      <c r="BH86" s="1493"/>
    </row>
    <row r="87" spans="1:60" ht="15" customHeight="1">
      <c r="A87" s="1226"/>
      <c r="B87" s="1272"/>
      <c r="C87" s="1261"/>
      <c r="D87" s="1261"/>
      <c r="E87" s="1261"/>
      <c r="F87" s="1262"/>
      <c r="G87" s="1266"/>
      <c r="H87" s="1266"/>
      <c r="I87" s="1266"/>
      <c r="J87" s="1372"/>
      <c r="K87" s="1266"/>
      <c r="L87" s="1451"/>
      <c r="M87" s="1448"/>
      <c r="N87" s="1370" t="str">
        <f>IF('別紙様式2-2（４・５月分）'!Q69="","",'別紙様式2-2（４・５月分）'!Q69)</f>
        <v/>
      </c>
      <c r="O87" s="1367"/>
      <c r="P87" s="1383"/>
      <c r="Q87" s="1384"/>
      <c r="R87" s="1385"/>
      <c r="S87" s="1393"/>
      <c r="T87" s="1414"/>
      <c r="U87" s="1563"/>
      <c r="V87" s="1458"/>
      <c r="W87" s="1351"/>
      <c r="X87" s="1535"/>
      <c r="Y87" s="1355"/>
      <c r="Z87" s="1535"/>
      <c r="AA87" s="1355"/>
      <c r="AB87" s="1535"/>
      <c r="AC87" s="1355"/>
      <c r="AD87" s="1535"/>
      <c r="AE87" s="1355"/>
      <c r="AF87" s="1355"/>
      <c r="AG87" s="1355"/>
      <c r="AH87" s="1361"/>
      <c r="AI87" s="1482"/>
      <c r="AJ87" s="1543"/>
      <c r="AK87" s="1539"/>
      <c r="AL87" s="1541"/>
      <c r="AM87" s="1572"/>
      <c r="AN87" s="1574"/>
      <c r="AO87" s="1404"/>
      <c r="AP87" s="1533"/>
      <c r="AQ87" s="1404"/>
      <c r="AR87" s="1584"/>
      <c r="AS87" s="1537"/>
      <c r="AT87" s="1532" t="str">
        <f t="shared" ref="AT87" si="83">IF(AV88="","",IF(OR(AB88="",AB88&lt;&gt;7,AD88="",AD88&lt;&gt;3),"！算定期間の終わりが令和７年３月になっていません。年度内の廃止予定等がなければ、算定対象月を令和７年３月にしてください。",""))</f>
        <v/>
      </c>
      <c r="AU87" s="674"/>
      <c r="AV87" s="1493"/>
      <c r="AW87" s="1518" t="str">
        <f>IF('別紙様式2-2（４・５月分）'!O69="","",'別紙様式2-2（４・５月分）'!O69)</f>
        <v/>
      </c>
      <c r="AX87" s="1507"/>
      <c r="AY87" s="1589"/>
      <c r="AZ87" s="521"/>
      <c r="BE87" s="428"/>
      <c r="BF87" s="1493" t="str">
        <f>G86</f>
        <v/>
      </c>
      <c r="BG87" s="1493"/>
      <c r="BH87" s="1493"/>
    </row>
    <row r="88" spans="1:60" ht="15" customHeight="1">
      <c r="A88" s="1240"/>
      <c r="B88" s="1272"/>
      <c r="C88" s="1261"/>
      <c r="D88" s="1261"/>
      <c r="E88" s="1261"/>
      <c r="F88" s="1262"/>
      <c r="G88" s="1266"/>
      <c r="H88" s="1266"/>
      <c r="I88" s="1266"/>
      <c r="J88" s="1372"/>
      <c r="K88" s="1266"/>
      <c r="L88" s="1451"/>
      <c r="M88" s="1448"/>
      <c r="N88" s="1371"/>
      <c r="O88" s="1368"/>
      <c r="P88" s="1390" t="s">
        <v>2179</v>
      </c>
      <c r="Q88" s="1504" t="str">
        <f>IFERROR(VLOOKUP('別紙様式2-2（４・５月分）'!AR68,【参考】数式用!$AT$5:$AV$22,3,FALSE),"")</f>
        <v/>
      </c>
      <c r="R88" s="1388" t="s">
        <v>2190</v>
      </c>
      <c r="S88" s="1396" t="str">
        <f>IFERROR(VLOOKUP(K86,【参考】数式用!$A$5:$AB$27,MATCH(Q88,【参考】数式用!$B$4:$AB$4,0)+1,0),"")</f>
        <v/>
      </c>
      <c r="T88" s="1459" t="s">
        <v>2267</v>
      </c>
      <c r="U88" s="1569"/>
      <c r="V88" s="1463" t="str">
        <f>IFERROR(VLOOKUP(K86,【参考】数式用!$A$5:$AB$27,MATCH(U88,【参考】数式用!$B$4:$AB$4,0)+1,0),"")</f>
        <v/>
      </c>
      <c r="W88" s="1465" t="s">
        <v>19</v>
      </c>
      <c r="X88" s="1564"/>
      <c r="Y88" s="1407" t="s">
        <v>10</v>
      </c>
      <c r="Z88" s="1564"/>
      <c r="AA88" s="1407" t="s">
        <v>45</v>
      </c>
      <c r="AB88" s="1564"/>
      <c r="AC88" s="1407" t="s">
        <v>10</v>
      </c>
      <c r="AD88" s="1564"/>
      <c r="AE88" s="1407" t="s">
        <v>2172</v>
      </c>
      <c r="AF88" s="1407" t="s">
        <v>24</v>
      </c>
      <c r="AG88" s="1407" t="str">
        <f>IF(X88&gt;=1,(AB88*12+AD88)-(X88*12+Z88)+1,"")</f>
        <v/>
      </c>
      <c r="AH88" s="1409" t="s">
        <v>38</v>
      </c>
      <c r="AI88" s="1411" t="str">
        <f t="shared" ref="AI88" si="84">IFERROR(ROUNDDOWN(ROUND(L86*V88,0)*M86,0)*AG88,"")</f>
        <v/>
      </c>
      <c r="AJ88" s="1577" t="str">
        <f>IFERROR(ROUNDDOWN(ROUND((L86*(V88-AX86)),0)*M86,0)*AG88,"")</f>
        <v/>
      </c>
      <c r="AK88" s="1494" t="str">
        <f>IFERROR(ROUNDDOWN(ROUNDDOWN(ROUND(L86*VLOOKUP(K86,【参考】数式用!$A$5:$AB$27,MATCH("新加算Ⅳ",【参考】数式用!$B$4:$AB$4,0)+1,0),0)*M86,0)*AG88*0.5,0),"")</f>
        <v/>
      </c>
      <c r="AL88" s="1579"/>
      <c r="AM88" s="1585" t="str">
        <f>IFERROR(IF('別紙様式2-2（４・５月分）'!Q70="ベア加算","", IF(OR(U88="新加算Ⅰ",U88="新加算Ⅱ",U88="新加算Ⅲ",U88="新加算Ⅳ"),ROUNDDOWN(ROUND(L86*VLOOKUP(K86,【参考】数式用!$A$5:$I$27,MATCH("ベア加算",【参考】数式用!$B$4:$I$4,0)+1,0),0)*M86,0)*AG88,"")),"")</f>
        <v/>
      </c>
      <c r="AN88" s="1548"/>
      <c r="AO88" s="1554"/>
      <c r="AP88" s="1552"/>
      <c r="AQ88" s="1554"/>
      <c r="AR88" s="1556"/>
      <c r="AS88" s="1558"/>
      <c r="AT88" s="1532"/>
      <c r="AU88" s="542"/>
      <c r="AV88" s="1493" t="str">
        <f t="shared" ref="AV88" si="85">IF(OR(AB86&lt;&gt;7,AD86&lt;&gt;3),"V列に色付け","")</f>
        <v/>
      </c>
      <c r="AW88" s="1518"/>
      <c r="AX88" s="1507"/>
      <c r="AY88" s="671"/>
      <c r="AZ88" s="1321" t="str">
        <f>IF(AM88&lt;&gt;"",IF(AN88="○","入力済","未入力"),"")</f>
        <v/>
      </c>
      <c r="BA88" s="1321"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321" t="str">
        <f>IF(OR(U88="新加算Ⅴ（７）",U88="新加算Ⅴ（９）",U88="新加算Ⅴ（10）",U88="新加算Ⅴ（12）",U88="新加算Ⅴ（13）",U88="新加算Ⅴ（14）"),IF(OR(AP88="○",AP88="令和６年度中に満たす"),"入力済","未入力"),"")</f>
        <v/>
      </c>
      <c r="BC88" s="1321" t="str">
        <f>IF(OR(U88="新加算Ⅰ",U88="新加算Ⅱ",U88="新加算Ⅲ",U88="新加算Ⅴ（１）",U88="新加算Ⅴ（３）",U88="新加算Ⅴ（８）"),IF(OR(AQ88="○",AQ88="令和６年度中に満たす"),"入力済","未入力"),"")</f>
        <v/>
      </c>
      <c r="BD88" s="1588"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493" t="str">
        <f>IF(OR(U88="新加算Ⅰ",U88="新加算Ⅴ（１）",U88="新加算Ⅴ（２）",U88="新加算Ⅴ（５）",U88="新加算Ⅴ（７）",U88="新加算Ⅴ（10）"),IF(AS88="","未入力","入力済"),"")</f>
        <v/>
      </c>
      <c r="BF88" s="1493" t="str">
        <f>G86</f>
        <v/>
      </c>
      <c r="BG88" s="1493"/>
      <c r="BH88" s="1493"/>
    </row>
    <row r="89" spans="1:60" ht="30" customHeight="1" thickBot="1">
      <c r="A89" s="1227"/>
      <c r="B89" s="1376"/>
      <c r="C89" s="1377"/>
      <c r="D89" s="1377"/>
      <c r="E89" s="1377"/>
      <c r="F89" s="1378"/>
      <c r="G89" s="1267"/>
      <c r="H89" s="1267"/>
      <c r="I89" s="1267"/>
      <c r="J89" s="1373"/>
      <c r="K89" s="1267"/>
      <c r="L89" s="1452"/>
      <c r="M89" s="1449"/>
      <c r="N89" s="650" t="str">
        <f>IF('別紙様式2-2（４・５月分）'!Q70="","",'別紙様式2-2（４・５月分）'!Q70)</f>
        <v/>
      </c>
      <c r="O89" s="1369"/>
      <c r="P89" s="1391"/>
      <c r="Q89" s="1505"/>
      <c r="R89" s="1389"/>
      <c r="S89" s="1395"/>
      <c r="T89" s="1460"/>
      <c r="U89" s="1570"/>
      <c r="V89" s="1464"/>
      <c r="W89" s="1466"/>
      <c r="X89" s="1565"/>
      <c r="Y89" s="1408"/>
      <c r="Z89" s="1565"/>
      <c r="AA89" s="1408"/>
      <c r="AB89" s="1565"/>
      <c r="AC89" s="1408"/>
      <c r="AD89" s="1565"/>
      <c r="AE89" s="1408"/>
      <c r="AF89" s="1408"/>
      <c r="AG89" s="1408"/>
      <c r="AH89" s="1410"/>
      <c r="AI89" s="1412"/>
      <c r="AJ89" s="1578"/>
      <c r="AK89" s="1495"/>
      <c r="AL89" s="1580"/>
      <c r="AM89" s="1586"/>
      <c r="AN89" s="1549"/>
      <c r="AO89" s="1555"/>
      <c r="AP89" s="1553"/>
      <c r="AQ89" s="1555"/>
      <c r="AR89" s="1557"/>
      <c r="AS89" s="1559"/>
      <c r="AT89" s="672" t="str">
        <f t="shared" ref="AT89" si="86">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42"/>
      <c r="AV89" s="1493"/>
      <c r="AW89" s="652" t="str">
        <f>IF('別紙様式2-2（４・５月分）'!O70="","",'別紙様式2-2（４・５月分）'!O70)</f>
        <v/>
      </c>
      <c r="AX89" s="1507"/>
      <c r="AY89" s="673"/>
      <c r="AZ89" s="1321" t="str">
        <f>IF(OR(U89="新加算Ⅰ",U89="新加算Ⅱ",U89="新加算Ⅲ",U89="新加算Ⅳ",U89="新加算Ⅴ（１）",U89="新加算Ⅴ（２）",U89="新加算Ⅴ（３）",U89="新加算ⅠⅤ（４）",U89="新加算Ⅴ（５）",U89="新加算Ⅴ（６）",U89="新加算Ⅴ（８）",U89="新加算Ⅴ（11）"),IF(AJ89="○","","未入力"),"")</f>
        <v/>
      </c>
      <c r="BA89" s="1321" t="str">
        <f>IF(OR(V89="新加算Ⅰ",V89="新加算Ⅱ",V89="新加算Ⅲ",V89="新加算Ⅳ",V89="新加算Ⅴ（１）",V89="新加算Ⅴ（２）",V89="新加算Ⅴ（３）",V89="新加算ⅠⅤ（４）",V89="新加算Ⅴ（５）",V89="新加算Ⅴ（６）",V89="新加算Ⅴ（８）",V89="新加算Ⅴ（11）"),IF(AK89="○","","未入力"),"")</f>
        <v/>
      </c>
      <c r="BB89" s="1321" t="str">
        <f>IF(OR(V89="新加算Ⅴ（７）",V89="新加算Ⅴ（９）",V89="新加算Ⅴ（10）",V89="新加算Ⅴ（12）",V89="新加算Ⅴ（13）",V89="新加算Ⅴ（14）"),IF(AL89="○","","未入力"),"")</f>
        <v/>
      </c>
      <c r="BC89" s="1321" t="str">
        <f>IF(OR(V89="新加算Ⅰ",V89="新加算Ⅱ",V89="新加算Ⅲ",V89="新加算Ⅴ（１）",V89="新加算Ⅴ（３）",V89="新加算Ⅴ（８）"),IF(AM89="○","","未入力"),"")</f>
        <v/>
      </c>
      <c r="BD89" s="1588"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493" t="str">
        <f>IF(AND(U89&lt;&gt;"（参考）令和７年度の移行予定",OR(V89="新加算Ⅰ",V89="新加算Ⅴ（１）",V89="新加算Ⅴ（２）",V89="新加算Ⅴ（５）",V89="新加算Ⅴ（７）",V89="新加算Ⅴ（10）")),IF(AO89="","未入力",IF(AO89="いずれも取得していない","要件を満たさない","")),"")</f>
        <v/>
      </c>
      <c r="BF89" s="1493" t="str">
        <f>G86</f>
        <v/>
      </c>
      <c r="BG89" s="1493"/>
      <c r="BH89" s="1493"/>
    </row>
    <row r="90" spans="1:60" ht="30" customHeight="1">
      <c r="A90" s="1241">
        <v>20</v>
      </c>
      <c r="B90" s="1272" t="str">
        <f>IF(基本情報入力シート!C73="","",基本情報入力シート!C73)</f>
        <v/>
      </c>
      <c r="C90" s="1261"/>
      <c r="D90" s="1261"/>
      <c r="E90" s="1261"/>
      <c r="F90" s="1262"/>
      <c r="G90" s="1266" t="str">
        <f>IF(基本情報入力シート!M73="","",基本情報入力シート!M73)</f>
        <v/>
      </c>
      <c r="H90" s="1266" t="str">
        <f>IF(基本情報入力シート!R73="","",基本情報入力シート!R73)</f>
        <v/>
      </c>
      <c r="I90" s="1266" t="str">
        <f>IF(基本情報入力シート!W73="","",基本情報入力シート!W73)</f>
        <v/>
      </c>
      <c r="J90" s="1372" t="str">
        <f>IF(基本情報入力シート!X73="","",基本情報入力シート!X73)</f>
        <v/>
      </c>
      <c r="K90" s="1266" t="str">
        <f>IF(基本情報入力シート!Y73="","",基本情報入力シート!Y73)</f>
        <v/>
      </c>
      <c r="L90" s="1451" t="str">
        <f>IF(基本情報入力シート!AB73="","",基本情報入力シート!AB73)</f>
        <v/>
      </c>
      <c r="M90" s="1453" t="str">
        <f>IF(基本情報入力シート!AC73="","",基本情報入力シート!AC73)</f>
        <v/>
      </c>
      <c r="N90" s="647" t="str">
        <f>IF('別紙様式2-2（４・５月分）'!Q71="","",'別紙様式2-2（４・５月分）'!Q71)</f>
        <v/>
      </c>
      <c r="O90" s="1366" t="str">
        <f>IF(SUM('別紙様式2-2（４・５月分）'!R71:R73)=0,"",SUM('別紙様式2-2（４・５月分）'!R71:R73))</f>
        <v/>
      </c>
      <c r="P90" s="1380" t="str">
        <f>IFERROR(VLOOKUP('別紙様式2-2（４・５月分）'!AR71,【参考】数式用!$AT$5:$AU$22,2,FALSE),"")</f>
        <v/>
      </c>
      <c r="Q90" s="1381"/>
      <c r="R90" s="1382"/>
      <c r="S90" s="1392" t="str">
        <f>IFERROR(VLOOKUP(K90,【参考】数式用!$A$5:$AB$27,MATCH(P90,【参考】数式用!$B$4:$AB$4,0)+1,0),"")</f>
        <v/>
      </c>
      <c r="T90" s="1413" t="s">
        <v>2258</v>
      </c>
      <c r="U90" s="1562" t="str">
        <f>IF('別紙様式2-3（６月以降分）'!U90="","",'別紙様式2-3（６月以降分）'!U90)</f>
        <v/>
      </c>
      <c r="V90" s="1457" t="str">
        <f>IFERROR(VLOOKUP(K90,【参考】数式用!$A$5:$AB$27,MATCH(U90,【参考】数式用!$B$4:$AB$4,0)+1,0),"")</f>
        <v/>
      </c>
      <c r="W90" s="1350" t="s">
        <v>19</v>
      </c>
      <c r="X90" s="1534">
        <f>'別紙様式2-3（６月以降分）'!X90</f>
        <v>6</v>
      </c>
      <c r="Y90" s="1354" t="s">
        <v>10</v>
      </c>
      <c r="Z90" s="1534">
        <f>'別紙様式2-3（６月以降分）'!Z90</f>
        <v>6</v>
      </c>
      <c r="AA90" s="1354" t="s">
        <v>45</v>
      </c>
      <c r="AB90" s="1534">
        <f>'別紙様式2-3（６月以降分）'!AB90</f>
        <v>7</v>
      </c>
      <c r="AC90" s="1354" t="s">
        <v>10</v>
      </c>
      <c r="AD90" s="1534">
        <f>'別紙様式2-3（６月以降分）'!AD90</f>
        <v>3</v>
      </c>
      <c r="AE90" s="1354" t="s">
        <v>2172</v>
      </c>
      <c r="AF90" s="1354" t="s">
        <v>24</v>
      </c>
      <c r="AG90" s="1354">
        <f>IF(X90&gt;=1,(AB90*12+AD90)-(X90*12+Z90)+1,"")</f>
        <v>10</v>
      </c>
      <c r="AH90" s="1360" t="s">
        <v>38</v>
      </c>
      <c r="AI90" s="1481" t="str">
        <f>'別紙様式2-3（６月以降分）'!AI90</f>
        <v/>
      </c>
      <c r="AJ90" s="1542" t="str">
        <f>'別紙様式2-3（６月以降分）'!AJ90</f>
        <v/>
      </c>
      <c r="AK90" s="1538">
        <f>'別紙様式2-3（６月以降分）'!AK90</f>
        <v>0</v>
      </c>
      <c r="AL90" s="1540" t="str">
        <f>IF('別紙様式2-3（６月以降分）'!AL90="","",'別紙様式2-3（６月以降分）'!AL90)</f>
        <v/>
      </c>
      <c r="AM90" s="1571">
        <f>'別紙様式2-3（６月以降分）'!AM90</f>
        <v>0</v>
      </c>
      <c r="AN90" s="1573" t="str">
        <f>IF('別紙様式2-3（６月以降分）'!AN90="","",'別紙様式2-3（６月以降分）'!AN90)</f>
        <v/>
      </c>
      <c r="AO90" s="1403" t="str">
        <f>IF('別紙様式2-3（６月以降分）'!AO90="","",'別紙様式2-3（６月以降分）'!AO90)</f>
        <v/>
      </c>
      <c r="AP90" s="1502" t="str">
        <f>IF('別紙様式2-3（６月以降分）'!AP90="","",'別紙様式2-3（６月以降分）'!AP90)</f>
        <v/>
      </c>
      <c r="AQ90" s="1403" t="str">
        <f>IF('別紙様式2-3（６月以降分）'!AQ90="","",'別紙様式2-3（６月以降分）'!AQ90)</f>
        <v/>
      </c>
      <c r="AR90" s="1583" t="str">
        <f>IF('別紙様式2-3（６月以降分）'!AR90="","",'別紙様式2-3（６月以降分）'!AR90)</f>
        <v/>
      </c>
      <c r="AS90" s="1536" t="str">
        <f>IF('別紙様式2-3（６月以降分）'!AS90="","",'別紙様式2-3（６月以降分）'!AS90)</f>
        <v/>
      </c>
      <c r="AT90" s="667" t="str">
        <f t="shared" ref="AT90" si="87">IF(AV92="","",IF(V92&lt;V90,"！加算の要件上は問題ありませんが、令和６年度当初の新加算の加算率と比較して、移行後の加算率が下がる計画になっています。",""))</f>
        <v/>
      </c>
      <c r="AU90" s="674"/>
      <c r="AV90" s="1233"/>
      <c r="AW90" s="652" t="str">
        <f>IF('別紙様式2-2（４・５月分）'!O71="","",'別紙様式2-2（４・５月分）'!O71)</f>
        <v/>
      </c>
      <c r="AX90" s="1507" t="str">
        <f>IF(SUM('別紙様式2-2（４・５月分）'!P71:P73)=0,"",SUM('別紙様式2-2（４・５月分）'!P71:P73))</f>
        <v/>
      </c>
      <c r="AY90" s="1589" t="str">
        <f>IFERROR(VLOOKUP(K90,【参考】数式用!$AJ$2:$AK$24,2,FALSE),"")</f>
        <v/>
      </c>
      <c r="AZ90" s="584"/>
      <c r="BE90" s="428"/>
      <c r="BF90" s="1493" t="str">
        <f>G90</f>
        <v/>
      </c>
      <c r="BG90" s="1493"/>
      <c r="BH90" s="1493"/>
    </row>
    <row r="91" spans="1:60" ht="15" customHeight="1">
      <c r="A91" s="1226"/>
      <c r="B91" s="1272"/>
      <c r="C91" s="1261"/>
      <c r="D91" s="1261"/>
      <c r="E91" s="1261"/>
      <c r="F91" s="1262"/>
      <c r="G91" s="1266"/>
      <c r="H91" s="1266"/>
      <c r="I91" s="1266"/>
      <c r="J91" s="1372"/>
      <c r="K91" s="1266"/>
      <c r="L91" s="1451"/>
      <c r="M91" s="1453"/>
      <c r="N91" s="1370" t="str">
        <f>IF('別紙様式2-2（４・５月分）'!Q72="","",'別紙様式2-2（４・５月分）'!Q72)</f>
        <v/>
      </c>
      <c r="O91" s="1367"/>
      <c r="P91" s="1383"/>
      <c r="Q91" s="1384"/>
      <c r="R91" s="1385"/>
      <c r="S91" s="1393"/>
      <c r="T91" s="1414"/>
      <c r="U91" s="1563"/>
      <c r="V91" s="1458"/>
      <c r="W91" s="1351"/>
      <c r="X91" s="1535"/>
      <c r="Y91" s="1355"/>
      <c r="Z91" s="1535"/>
      <c r="AA91" s="1355"/>
      <c r="AB91" s="1535"/>
      <c r="AC91" s="1355"/>
      <c r="AD91" s="1535"/>
      <c r="AE91" s="1355"/>
      <c r="AF91" s="1355"/>
      <c r="AG91" s="1355"/>
      <c r="AH91" s="1361"/>
      <c r="AI91" s="1482"/>
      <c r="AJ91" s="1543"/>
      <c r="AK91" s="1539"/>
      <c r="AL91" s="1541"/>
      <c r="AM91" s="1572"/>
      <c r="AN91" s="1574"/>
      <c r="AO91" s="1404"/>
      <c r="AP91" s="1533"/>
      <c r="AQ91" s="1404"/>
      <c r="AR91" s="1584"/>
      <c r="AS91" s="1537"/>
      <c r="AT91" s="1532" t="str">
        <f t="shared" ref="AT91" si="88">IF(AV92="","",IF(OR(AB92="",AB92&lt;&gt;7,AD92="",AD92&lt;&gt;3),"！算定期間の終わりが令和７年３月になっていません。年度内の廃止予定等がなければ、算定対象月を令和７年３月にしてください。",""))</f>
        <v/>
      </c>
      <c r="AU91" s="674"/>
      <c r="AV91" s="1493"/>
      <c r="AW91" s="1518" t="str">
        <f>IF('別紙様式2-2（４・５月分）'!O72="","",'別紙様式2-2（４・５月分）'!O72)</f>
        <v/>
      </c>
      <c r="AX91" s="1507"/>
      <c r="AY91" s="1589"/>
      <c r="AZ91" s="521"/>
      <c r="BE91" s="428"/>
      <c r="BF91" s="1493" t="str">
        <f>G90</f>
        <v/>
      </c>
      <c r="BG91" s="1493"/>
      <c r="BH91" s="1493"/>
    </row>
    <row r="92" spans="1:60" ht="15" customHeight="1">
      <c r="A92" s="1240"/>
      <c r="B92" s="1272"/>
      <c r="C92" s="1261"/>
      <c r="D92" s="1261"/>
      <c r="E92" s="1261"/>
      <c r="F92" s="1262"/>
      <c r="G92" s="1266"/>
      <c r="H92" s="1266"/>
      <c r="I92" s="1266"/>
      <c r="J92" s="1372"/>
      <c r="K92" s="1266"/>
      <c r="L92" s="1451"/>
      <c r="M92" s="1453"/>
      <c r="N92" s="1371"/>
      <c r="O92" s="1368"/>
      <c r="P92" s="1390" t="s">
        <v>2179</v>
      </c>
      <c r="Q92" s="1504" t="str">
        <f>IFERROR(VLOOKUP('別紙様式2-2（４・５月分）'!AR71,【参考】数式用!$AT$5:$AV$22,3,FALSE),"")</f>
        <v/>
      </c>
      <c r="R92" s="1388" t="s">
        <v>2190</v>
      </c>
      <c r="S92" s="1394" t="str">
        <f>IFERROR(VLOOKUP(K90,【参考】数式用!$A$5:$AB$27,MATCH(Q92,【参考】数式用!$B$4:$AB$4,0)+1,0),"")</f>
        <v/>
      </c>
      <c r="T92" s="1459" t="s">
        <v>2267</v>
      </c>
      <c r="U92" s="1569"/>
      <c r="V92" s="1463" t="str">
        <f>IFERROR(VLOOKUP(K90,【参考】数式用!$A$5:$AB$27,MATCH(U92,【参考】数式用!$B$4:$AB$4,0)+1,0),"")</f>
        <v/>
      </c>
      <c r="W92" s="1465" t="s">
        <v>19</v>
      </c>
      <c r="X92" s="1564"/>
      <c r="Y92" s="1407" t="s">
        <v>10</v>
      </c>
      <c r="Z92" s="1564"/>
      <c r="AA92" s="1407" t="s">
        <v>45</v>
      </c>
      <c r="AB92" s="1564"/>
      <c r="AC92" s="1407" t="s">
        <v>10</v>
      </c>
      <c r="AD92" s="1564"/>
      <c r="AE92" s="1407" t="s">
        <v>2172</v>
      </c>
      <c r="AF92" s="1407" t="s">
        <v>24</v>
      </c>
      <c r="AG92" s="1407" t="str">
        <f>IF(X92&gt;=1,(AB92*12+AD92)-(X92*12+Z92)+1,"")</f>
        <v/>
      </c>
      <c r="AH92" s="1409" t="s">
        <v>38</v>
      </c>
      <c r="AI92" s="1411" t="str">
        <f t="shared" ref="AI92" si="89">IFERROR(ROUNDDOWN(ROUND(L90*V92,0)*M90,0)*AG92,"")</f>
        <v/>
      </c>
      <c r="AJ92" s="1577" t="str">
        <f>IFERROR(ROUNDDOWN(ROUND((L90*(V92-AX90)),0)*M90,0)*AG92,"")</f>
        <v/>
      </c>
      <c r="AK92" s="1494" t="str">
        <f>IFERROR(ROUNDDOWN(ROUNDDOWN(ROUND(L90*VLOOKUP(K90,【参考】数式用!$A$5:$AB$27,MATCH("新加算Ⅳ",【参考】数式用!$B$4:$AB$4,0)+1,0),0)*M90,0)*AG92*0.5,0),"")</f>
        <v/>
      </c>
      <c r="AL92" s="1579"/>
      <c r="AM92" s="1585" t="str">
        <f>IFERROR(IF('別紙様式2-2（４・５月分）'!Q73="ベア加算","", IF(OR(U92="新加算Ⅰ",U92="新加算Ⅱ",U92="新加算Ⅲ",U92="新加算Ⅳ"),ROUNDDOWN(ROUND(L90*VLOOKUP(K90,【参考】数式用!$A$5:$I$27,MATCH("ベア加算",【参考】数式用!$B$4:$I$4,0)+1,0),0)*M90,0)*AG92,"")),"")</f>
        <v/>
      </c>
      <c r="AN92" s="1548"/>
      <c r="AO92" s="1554"/>
      <c r="AP92" s="1552"/>
      <c r="AQ92" s="1554"/>
      <c r="AR92" s="1556"/>
      <c r="AS92" s="1558"/>
      <c r="AT92" s="1532"/>
      <c r="AU92" s="542"/>
      <c r="AV92" s="1493" t="str">
        <f t="shared" ref="AV92" si="90">IF(OR(AB90&lt;&gt;7,AD90&lt;&gt;3),"V列に色付け","")</f>
        <v/>
      </c>
      <c r="AW92" s="1518"/>
      <c r="AX92" s="1507"/>
      <c r="AY92" s="671"/>
      <c r="AZ92" s="1321" t="str">
        <f>IF(AM92&lt;&gt;"",IF(AN92="○","入力済","未入力"),"")</f>
        <v/>
      </c>
      <c r="BA92" s="1321"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321" t="str">
        <f>IF(OR(U92="新加算Ⅴ（７）",U92="新加算Ⅴ（９）",U92="新加算Ⅴ（10）",U92="新加算Ⅴ（12）",U92="新加算Ⅴ（13）",U92="新加算Ⅴ（14）"),IF(OR(AP92="○",AP92="令和６年度中に満たす"),"入力済","未入力"),"")</f>
        <v/>
      </c>
      <c r="BC92" s="1321" t="str">
        <f>IF(OR(U92="新加算Ⅰ",U92="新加算Ⅱ",U92="新加算Ⅲ",U92="新加算Ⅴ（１）",U92="新加算Ⅴ（３）",U92="新加算Ⅴ（８）"),IF(OR(AQ92="○",AQ92="令和６年度中に満たす"),"入力済","未入力"),"")</f>
        <v/>
      </c>
      <c r="BD92" s="1588"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493" t="str">
        <f>IF(OR(U92="新加算Ⅰ",U92="新加算Ⅴ（１）",U92="新加算Ⅴ（２）",U92="新加算Ⅴ（５）",U92="新加算Ⅴ（７）",U92="新加算Ⅴ（10）"),IF(AS92="","未入力","入力済"),"")</f>
        <v/>
      </c>
      <c r="BF92" s="1493" t="str">
        <f>G90</f>
        <v/>
      </c>
      <c r="BG92" s="1493"/>
      <c r="BH92" s="1493"/>
    </row>
    <row r="93" spans="1:60" ht="30" customHeight="1" thickBot="1">
      <c r="A93" s="1227"/>
      <c r="B93" s="1376"/>
      <c r="C93" s="1377"/>
      <c r="D93" s="1377"/>
      <c r="E93" s="1377"/>
      <c r="F93" s="1378"/>
      <c r="G93" s="1267"/>
      <c r="H93" s="1267"/>
      <c r="I93" s="1267"/>
      <c r="J93" s="1373"/>
      <c r="K93" s="1267"/>
      <c r="L93" s="1452"/>
      <c r="M93" s="1454"/>
      <c r="N93" s="650" t="str">
        <f>IF('別紙様式2-2（４・５月分）'!Q73="","",'別紙様式2-2（４・５月分）'!Q73)</f>
        <v/>
      </c>
      <c r="O93" s="1369"/>
      <c r="P93" s="1391"/>
      <c r="Q93" s="1505"/>
      <c r="R93" s="1389"/>
      <c r="S93" s="1395"/>
      <c r="T93" s="1460"/>
      <c r="U93" s="1570"/>
      <c r="V93" s="1464"/>
      <c r="W93" s="1466"/>
      <c r="X93" s="1565"/>
      <c r="Y93" s="1408"/>
      <c r="Z93" s="1565"/>
      <c r="AA93" s="1408"/>
      <c r="AB93" s="1565"/>
      <c r="AC93" s="1408"/>
      <c r="AD93" s="1565"/>
      <c r="AE93" s="1408"/>
      <c r="AF93" s="1408"/>
      <c r="AG93" s="1408"/>
      <c r="AH93" s="1410"/>
      <c r="AI93" s="1412"/>
      <c r="AJ93" s="1578"/>
      <c r="AK93" s="1495"/>
      <c r="AL93" s="1580"/>
      <c r="AM93" s="1586"/>
      <c r="AN93" s="1549"/>
      <c r="AO93" s="1555"/>
      <c r="AP93" s="1553"/>
      <c r="AQ93" s="1555"/>
      <c r="AR93" s="1557"/>
      <c r="AS93" s="1559"/>
      <c r="AT93" s="672" t="str">
        <f t="shared" ref="AT93" si="91">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42"/>
      <c r="AV93" s="1493"/>
      <c r="AW93" s="652" t="str">
        <f>IF('別紙様式2-2（４・５月分）'!O73="","",'別紙様式2-2（４・５月分）'!O73)</f>
        <v/>
      </c>
      <c r="AX93" s="1507"/>
      <c r="AY93" s="673"/>
      <c r="AZ93" s="1321" t="str">
        <f>IF(OR(U93="新加算Ⅰ",U93="新加算Ⅱ",U93="新加算Ⅲ",U93="新加算Ⅳ",U93="新加算Ⅴ（１）",U93="新加算Ⅴ（２）",U93="新加算Ⅴ（３）",U93="新加算ⅠⅤ（４）",U93="新加算Ⅴ（５）",U93="新加算Ⅴ（６）",U93="新加算Ⅴ（８）",U93="新加算Ⅴ（11）"),IF(AJ93="○","","未入力"),"")</f>
        <v/>
      </c>
      <c r="BA93" s="1321" t="str">
        <f>IF(OR(V93="新加算Ⅰ",V93="新加算Ⅱ",V93="新加算Ⅲ",V93="新加算Ⅳ",V93="新加算Ⅴ（１）",V93="新加算Ⅴ（２）",V93="新加算Ⅴ（３）",V93="新加算ⅠⅤ（４）",V93="新加算Ⅴ（５）",V93="新加算Ⅴ（６）",V93="新加算Ⅴ（８）",V93="新加算Ⅴ（11）"),IF(AK93="○","","未入力"),"")</f>
        <v/>
      </c>
      <c r="BB93" s="1321" t="str">
        <f>IF(OR(V93="新加算Ⅴ（７）",V93="新加算Ⅴ（９）",V93="新加算Ⅴ（10）",V93="新加算Ⅴ（12）",V93="新加算Ⅴ（13）",V93="新加算Ⅴ（14）"),IF(AL93="○","","未入力"),"")</f>
        <v/>
      </c>
      <c r="BC93" s="1321" t="str">
        <f>IF(OR(V93="新加算Ⅰ",V93="新加算Ⅱ",V93="新加算Ⅲ",V93="新加算Ⅴ（１）",V93="新加算Ⅴ（３）",V93="新加算Ⅴ（８）"),IF(AM93="○","","未入力"),"")</f>
        <v/>
      </c>
      <c r="BD93" s="1588"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493" t="str">
        <f>IF(AND(U93&lt;&gt;"（参考）令和７年度の移行予定",OR(V93="新加算Ⅰ",V93="新加算Ⅴ（１）",V93="新加算Ⅴ（２）",V93="新加算Ⅴ（５）",V93="新加算Ⅴ（７）",V93="新加算Ⅴ（10）")),IF(AO93="","未入力",IF(AO93="いずれも取得していない","要件を満たさない","")),"")</f>
        <v/>
      </c>
      <c r="BF93" s="1493" t="str">
        <f>G90</f>
        <v/>
      </c>
      <c r="BG93" s="1493"/>
      <c r="BH93" s="1493"/>
    </row>
    <row r="94" spans="1:60" ht="30" customHeight="1">
      <c r="A94" s="1225">
        <v>21</v>
      </c>
      <c r="B94" s="1271" t="str">
        <f>IF(基本情報入力シート!C74="","",基本情報入力シート!C74)</f>
        <v/>
      </c>
      <c r="C94" s="1259"/>
      <c r="D94" s="1259"/>
      <c r="E94" s="1259"/>
      <c r="F94" s="1260"/>
      <c r="G94" s="1265" t="str">
        <f>IF(基本情報入力シート!M74="","",基本情報入力シート!M74)</f>
        <v/>
      </c>
      <c r="H94" s="1265" t="str">
        <f>IF(基本情報入力シート!R74="","",基本情報入力シート!R74)</f>
        <v/>
      </c>
      <c r="I94" s="1265" t="str">
        <f>IF(基本情報入力シート!W74="","",基本情報入力シート!W74)</f>
        <v/>
      </c>
      <c r="J94" s="1379" t="str">
        <f>IF(基本情報入力シート!X74="","",基本情報入力シート!X74)</f>
        <v/>
      </c>
      <c r="K94" s="1265" t="str">
        <f>IF(基本情報入力シート!Y74="","",基本情報入力シート!Y74)</f>
        <v/>
      </c>
      <c r="L94" s="1450" t="str">
        <f>IF(基本情報入力シート!AB74="","",基本情報入力シート!AB74)</f>
        <v/>
      </c>
      <c r="M94" s="1447" t="str">
        <f>IF(基本情報入力シート!AC74="","",基本情報入力シート!AC74)</f>
        <v/>
      </c>
      <c r="N94" s="647" t="str">
        <f>IF('別紙様式2-2（４・５月分）'!Q74="","",'別紙様式2-2（４・５月分）'!Q74)</f>
        <v/>
      </c>
      <c r="O94" s="1366" t="str">
        <f>IF(SUM('別紙様式2-2（４・５月分）'!R74:R76)=0,"",SUM('別紙様式2-2（４・５月分）'!R74:R76))</f>
        <v/>
      </c>
      <c r="P94" s="1380" t="str">
        <f>IFERROR(VLOOKUP('別紙様式2-2（４・５月分）'!AR74,【参考】数式用!$AT$5:$AU$22,2,FALSE),"")</f>
        <v/>
      </c>
      <c r="Q94" s="1381"/>
      <c r="R94" s="1382"/>
      <c r="S94" s="1392" t="str">
        <f>IFERROR(VLOOKUP(K94,【参考】数式用!$A$5:$AB$27,MATCH(P94,【参考】数式用!$B$4:$AB$4,0)+1,0),"")</f>
        <v/>
      </c>
      <c r="T94" s="1413" t="s">
        <v>2258</v>
      </c>
      <c r="U94" s="1562" t="str">
        <f>IF('別紙様式2-3（６月以降分）'!U94="","",'別紙様式2-3（６月以降分）'!U94)</f>
        <v/>
      </c>
      <c r="V94" s="1457" t="str">
        <f>IFERROR(VLOOKUP(K94,【参考】数式用!$A$5:$AB$27,MATCH(U94,【参考】数式用!$B$4:$AB$4,0)+1,0),"")</f>
        <v/>
      </c>
      <c r="W94" s="1350" t="s">
        <v>19</v>
      </c>
      <c r="X94" s="1534">
        <f>'別紙様式2-3（６月以降分）'!X94</f>
        <v>6</v>
      </c>
      <c r="Y94" s="1354" t="s">
        <v>10</v>
      </c>
      <c r="Z94" s="1534">
        <f>'別紙様式2-3（６月以降分）'!Z94</f>
        <v>6</v>
      </c>
      <c r="AA94" s="1354" t="s">
        <v>45</v>
      </c>
      <c r="AB94" s="1534">
        <f>'別紙様式2-3（６月以降分）'!AB94</f>
        <v>7</v>
      </c>
      <c r="AC94" s="1354" t="s">
        <v>10</v>
      </c>
      <c r="AD94" s="1534">
        <f>'別紙様式2-3（６月以降分）'!AD94</f>
        <v>3</v>
      </c>
      <c r="AE94" s="1354" t="s">
        <v>2172</v>
      </c>
      <c r="AF94" s="1354" t="s">
        <v>24</v>
      </c>
      <c r="AG94" s="1354">
        <f>IF(X94&gt;=1,(AB94*12+AD94)-(X94*12+Z94)+1,"")</f>
        <v>10</v>
      </c>
      <c r="AH94" s="1360" t="s">
        <v>38</v>
      </c>
      <c r="AI94" s="1481" t="str">
        <f>'別紙様式2-3（６月以降分）'!AI94</f>
        <v/>
      </c>
      <c r="AJ94" s="1542" t="str">
        <f>'別紙様式2-3（６月以降分）'!AJ94</f>
        <v/>
      </c>
      <c r="AK94" s="1538">
        <f>'別紙様式2-3（６月以降分）'!AK94</f>
        <v>0</v>
      </c>
      <c r="AL94" s="1540" t="str">
        <f>IF('別紙様式2-3（６月以降分）'!AL94="","",'別紙様式2-3（６月以降分）'!AL94)</f>
        <v/>
      </c>
      <c r="AM94" s="1571">
        <f>'別紙様式2-3（６月以降分）'!AM94</f>
        <v>0</v>
      </c>
      <c r="AN94" s="1573" t="str">
        <f>IF('別紙様式2-3（６月以降分）'!AN94="","",'別紙様式2-3（６月以降分）'!AN94)</f>
        <v/>
      </c>
      <c r="AO94" s="1403" t="str">
        <f>IF('別紙様式2-3（６月以降分）'!AO94="","",'別紙様式2-3（６月以降分）'!AO94)</f>
        <v/>
      </c>
      <c r="AP94" s="1502" t="str">
        <f>IF('別紙様式2-3（６月以降分）'!AP94="","",'別紙様式2-3（６月以降分）'!AP94)</f>
        <v/>
      </c>
      <c r="AQ94" s="1403" t="str">
        <f>IF('別紙様式2-3（６月以降分）'!AQ94="","",'別紙様式2-3（６月以降分）'!AQ94)</f>
        <v/>
      </c>
      <c r="AR94" s="1583" t="str">
        <f>IF('別紙様式2-3（６月以降分）'!AR94="","",'別紙様式2-3（６月以降分）'!AR94)</f>
        <v/>
      </c>
      <c r="AS94" s="1536" t="str">
        <f>IF('別紙様式2-3（６月以降分）'!AS94="","",'別紙様式2-3（６月以降分）'!AS94)</f>
        <v/>
      </c>
      <c r="AT94" s="667" t="str">
        <f t="shared" ref="AT94" si="92">IF(AV96="","",IF(V96&lt;V94,"！加算の要件上は問題ありませんが、令和６年度当初の新加算の加算率と比較して、移行後の加算率が下がる計画になっています。",""))</f>
        <v/>
      </c>
      <c r="AU94" s="674"/>
      <c r="AV94" s="1233"/>
      <c r="AW94" s="652" t="str">
        <f>IF('別紙様式2-2（４・５月分）'!O74="","",'別紙様式2-2（４・５月分）'!O74)</f>
        <v/>
      </c>
      <c r="AX94" s="1507" t="str">
        <f>IF(SUM('別紙様式2-2（４・５月分）'!P74:P76)=0,"",SUM('別紙様式2-2（４・５月分）'!P74:P76))</f>
        <v/>
      </c>
      <c r="AY94" s="1590" t="str">
        <f>IFERROR(VLOOKUP(K94,【参考】数式用!$AJ$2:$AK$24,2,FALSE),"")</f>
        <v/>
      </c>
      <c r="AZ94" s="584"/>
      <c r="BE94" s="428"/>
      <c r="BF94" s="1493" t="str">
        <f>G94</f>
        <v/>
      </c>
      <c r="BG94" s="1493"/>
      <c r="BH94" s="1493"/>
    </row>
    <row r="95" spans="1:60" ht="15" customHeight="1">
      <c r="A95" s="1226"/>
      <c r="B95" s="1272"/>
      <c r="C95" s="1261"/>
      <c r="D95" s="1261"/>
      <c r="E95" s="1261"/>
      <c r="F95" s="1262"/>
      <c r="G95" s="1266"/>
      <c r="H95" s="1266"/>
      <c r="I95" s="1266"/>
      <c r="J95" s="1372"/>
      <c r="K95" s="1266"/>
      <c r="L95" s="1451"/>
      <c r="M95" s="1448"/>
      <c r="N95" s="1370" t="str">
        <f>IF('別紙様式2-2（４・５月分）'!Q75="","",'別紙様式2-2（４・５月分）'!Q75)</f>
        <v/>
      </c>
      <c r="O95" s="1367"/>
      <c r="P95" s="1383"/>
      <c r="Q95" s="1384"/>
      <c r="R95" s="1385"/>
      <c r="S95" s="1393"/>
      <c r="T95" s="1414"/>
      <c r="U95" s="1563"/>
      <c r="V95" s="1458"/>
      <c r="W95" s="1351"/>
      <c r="X95" s="1535"/>
      <c r="Y95" s="1355"/>
      <c r="Z95" s="1535"/>
      <c r="AA95" s="1355"/>
      <c r="AB95" s="1535"/>
      <c r="AC95" s="1355"/>
      <c r="AD95" s="1535"/>
      <c r="AE95" s="1355"/>
      <c r="AF95" s="1355"/>
      <c r="AG95" s="1355"/>
      <c r="AH95" s="1361"/>
      <c r="AI95" s="1482"/>
      <c r="AJ95" s="1543"/>
      <c r="AK95" s="1539"/>
      <c r="AL95" s="1541"/>
      <c r="AM95" s="1572"/>
      <c r="AN95" s="1574"/>
      <c r="AO95" s="1404"/>
      <c r="AP95" s="1533"/>
      <c r="AQ95" s="1404"/>
      <c r="AR95" s="1584"/>
      <c r="AS95" s="1537"/>
      <c r="AT95" s="1532" t="str">
        <f t="shared" ref="AT95" si="93">IF(AV96="","",IF(OR(AB96="",AB96&lt;&gt;7,AD96="",AD96&lt;&gt;3),"！算定期間の終わりが令和７年３月になっていません。年度内の廃止予定等がなければ、算定対象月を令和７年３月にしてください。",""))</f>
        <v/>
      </c>
      <c r="AU95" s="674"/>
      <c r="AV95" s="1493"/>
      <c r="AW95" s="1518" t="str">
        <f>IF('別紙様式2-2（４・５月分）'!O75="","",'別紙様式2-2（４・５月分）'!O75)</f>
        <v/>
      </c>
      <c r="AX95" s="1507"/>
      <c r="AY95" s="1589"/>
      <c r="AZ95" s="521"/>
      <c r="BE95" s="428"/>
      <c r="BF95" s="1493" t="str">
        <f>G94</f>
        <v/>
      </c>
      <c r="BG95" s="1493"/>
      <c r="BH95" s="1493"/>
    </row>
    <row r="96" spans="1:60" ht="15" customHeight="1">
      <c r="A96" s="1240"/>
      <c r="B96" s="1272"/>
      <c r="C96" s="1261"/>
      <c r="D96" s="1261"/>
      <c r="E96" s="1261"/>
      <c r="F96" s="1262"/>
      <c r="G96" s="1266"/>
      <c r="H96" s="1266"/>
      <c r="I96" s="1266"/>
      <c r="J96" s="1372"/>
      <c r="K96" s="1266"/>
      <c r="L96" s="1451"/>
      <c r="M96" s="1448"/>
      <c r="N96" s="1371"/>
      <c r="O96" s="1368"/>
      <c r="P96" s="1390" t="s">
        <v>2179</v>
      </c>
      <c r="Q96" s="1504" t="str">
        <f>IFERROR(VLOOKUP('別紙様式2-2（４・５月分）'!AR74,【参考】数式用!$AT$5:$AV$22,3,FALSE),"")</f>
        <v/>
      </c>
      <c r="R96" s="1388" t="s">
        <v>2190</v>
      </c>
      <c r="S96" s="1396" t="str">
        <f>IFERROR(VLOOKUP(K94,【参考】数式用!$A$5:$AB$27,MATCH(Q96,【参考】数式用!$B$4:$AB$4,0)+1,0),"")</f>
        <v/>
      </c>
      <c r="T96" s="1459" t="s">
        <v>2267</v>
      </c>
      <c r="U96" s="1569"/>
      <c r="V96" s="1463" t="str">
        <f>IFERROR(VLOOKUP(K94,【参考】数式用!$A$5:$AB$27,MATCH(U96,【参考】数式用!$B$4:$AB$4,0)+1,0),"")</f>
        <v/>
      </c>
      <c r="W96" s="1465" t="s">
        <v>19</v>
      </c>
      <c r="X96" s="1564"/>
      <c r="Y96" s="1407" t="s">
        <v>10</v>
      </c>
      <c r="Z96" s="1564"/>
      <c r="AA96" s="1407" t="s">
        <v>45</v>
      </c>
      <c r="AB96" s="1564"/>
      <c r="AC96" s="1407" t="s">
        <v>10</v>
      </c>
      <c r="AD96" s="1564"/>
      <c r="AE96" s="1407" t="s">
        <v>2172</v>
      </c>
      <c r="AF96" s="1407" t="s">
        <v>24</v>
      </c>
      <c r="AG96" s="1407" t="str">
        <f>IF(X96&gt;=1,(AB96*12+AD96)-(X96*12+Z96)+1,"")</f>
        <v/>
      </c>
      <c r="AH96" s="1409" t="s">
        <v>38</v>
      </c>
      <c r="AI96" s="1411" t="str">
        <f t="shared" ref="AI96" si="94">IFERROR(ROUNDDOWN(ROUND(L94*V96,0)*M94,0)*AG96,"")</f>
        <v/>
      </c>
      <c r="AJ96" s="1577" t="str">
        <f>IFERROR(ROUNDDOWN(ROUND((L94*(V96-AX94)),0)*M94,0)*AG96,"")</f>
        <v/>
      </c>
      <c r="AK96" s="1494" t="str">
        <f>IFERROR(ROUNDDOWN(ROUNDDOWN(ROUND(L94*VLOOKUP(K94,【参考】数式用!$A$5:$AB$27,MATCH("新加算Ⅳ",【参考】数式用!$B$4:$AB$4,0)+1,0),0)*M94,0)*AG96*0.5,0),"")</f>
        <v/>
      </c>
      <c r="AL96" s="1579"/>
      <c r="AM96" s="1585" t="str">
        <f>IFERROR(IF('別紙様式2-2（４・５月分）'!Q76="ベア加算","", IF(OR(U96="新加算Ⅰ",U96="新加算Ⅱ",U96="新加算Ⅲ",U96="新加算Ⅳ"),ROUNDDOWN(ROUND(L94*VLOOKUP(K94,【参考】数式用!$A$5:$I$27,MATCH("ベア加算",【参考】数式用!$B$4:$I$4,0)+1,0),0)*M94,0)*AG96,"")),"")</f>
        <v/>
      </c>
      <c r="AN96" s="1548"/>
      <c r="AO96" s="1554"/>
      <c r="AP96" s="1552"/>
      <c r="AQ96" s="1554"/>
      <c r="AR96" s="1556"/>
      <c r="AS96" s="1558"/>
      <c r="AT96" s="1532"/>
      <c r="AU96" s="542"/>
      <c r="AV96" s="1493" t="str">
        <f t="shared" ref="AV96" si="95">IF(OR(AB94&lt;&gt;7,AD94&lt;&gt;3),"V列に色付け","")</f>
        <v/>
      </c>
      <c r="AW96" s="1518"/>
      <c r="AX96" s="1507"/>
      <c r="AY96" s="671"/>
      <c r="AZ96" s="1321" t="str">
        <f>IF(AM96&lt;&gt;"",IF(AN96="○","入力済","未入力"),"")</f>
        <v/>
      </c>
      <c r="BA96" s="1321"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321" t="str">
        <f>IF(OR(U96="新加算Ⅴ（７）",U96="新加算Ⅴ（９）",U96="新加算Ⅴ（10）",U96="新加算Ⅴ（12）",U96="新加算Ⅴ（13）",U96="新加算Ⅴ（14）"),IF(OR(AP96="○",AP96="令和６年度中に満たす"),"入力済","未入力"),"")</f>
        <v/>
      </c>
      <c r="BC96" s="1321" t="str">
        <f>IF(OR(U96="新加算Ⅰ",U96="新加算Ⅱ",U96="新加算Ⅲ",U96="新加算Ⅴ（１）",U96="新加算Ⅴ（３）",U96="新加算Ⅴ（８）"),IF(OR(AQ96="○",AQ96="令和６年度中に満たす"),"入力済","未入力"),"")</f>
        <v/>
      </c>
      <c r="BD96" s="1588"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493" t="str">
        <f>IF(OR(U96="新加算Ⅰ",U96="新加算Ⅴ（１）",U96="新加算Ⅴ（２）",U96="新加算Ⅴ（５）",U96="新加算Ⅴ（７）",U96="新加算Ⅴ（10）"),IF(AS96="","未入力","入力済"),"")</f>
        <v/>
      </c>
      <c r="BF96" s="1493" t="str">
        <f>G94</f>
        <v/>
      </c>
      <c r="BG96" s="1493"/>
      <c r="BH96" s="1493"/>
    </row>
    <row r="97" spans="1:60" ht="30" customHeight="1" thickBot="1">
      <c r="A97" s="1227"/>
      <c r="B97" s="1376"/>
      <c r="C97" s="1377"/>
      <c r="D97" s="1377"/>
      <c r="E97" s="1377"/>
      <c r="F97" s="1378"/>
      <c r="G97" s="1267"/>
      <c r="H97" s="1267"/>
      <c r="I97" s="1267"/>
      <c r="J97" s="1373"/>
      <c r="K97" s="1267"/>
      <c r="L97" s="1452"/>
      <c r="M97" s="1449"/>
      <c r="N97" s="650" t="str">
        <f>IF('別紙様式2-2（４・５月分）'!Q76="","",'別紙様式2-2（４・５月分）'!Q76)</f>
        <v/>
      </c>
      <c r="O97" s="1369"/>
      <c r="P97" s="1391"/>
      <c r="Q97" s="1505"/>
      <c r="R97" s="1389"/>
      <c r="S97" s="1395"/>
      <c r="T97" s="1460"/>
      <c r="U97" s="1570"/>
      <c r="V97" s="1464"/>
      <c r="W97" s="1466"/>
      <c r="X97" s="1565"/>
      <c r="Y97" s="1408"/>
      <c r="Z97" s="1565"/>
      <c r="AA97" s="1408"/>
      <c r="AB97" s="1565"/>
      <c r="AC97" s="1408"/>
      <c r="AD97" s="1565"/>
      <c r="AE97" s="1408"/>
      <c r="AF97" s="1408"/>
      <c r="AG97" s="1408"/>
      <c r="AH97" s="1410"/>
      <c r="AI97" s="1412"/>
      <c r="AJ97" s="1578"/>
      <c r="AK97" s="1495"/>
      <c r="AL97" s="1580"/>
      <c r="AM97" s="1586"/>
      <c r="AN97" s="1549"/>
      <c r="AO97" s="1555"/>
      <c r="AP97" s="1553"/>
      <c r="AQ97" s="1555"/>
      <c r="AR97" s="1557"/>
      <c r="AS97" s="1559"/>
      <c r="AT97" s="672" t="str">
        <f t="shared" ref="AT97" si="9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42"/>
      <c r="AV97" s="1493"/>
      <c r="AW97" s="652" t="str">
        <f>IF('別紙様式2-2（４・５月分）'!O76="","",'別紙様式2-2（４・５月分）'!O76)</f>
        <v/>
      </c>
      <c r="AX97" s="1507"/>
      <c r="AY97" s="673"/>
      <c r="AZ97" s="1321" t="str">
        <f>IF(OR(U97="新加算Ⅰ",U97="新加算Ⅱ",U97="新加算Ⅲ",U97="新加算Ⅳ",U97="新加算Ⅴ（１）",U97="新加算Ⅴ（２）",U97="新加算Ⅴ（３）",U97="新加算ⅠⅤ（４）",U97="新加算Ⅴ（５）",U97="新加算Ⅴ（６）",U97="新加算Ⅴ（８）",U97="新加算Ⅴ（11）"),IF(AJ97="○","","未入力"),"")</f>
        <v/>
      </c>
      <c r="BA97" s="1321" t="str">
        <f>IF(OR(V97="新加算Ⅰ",V97="新加算Ⅱ",V97="新加算Ⅲ",V97="新加算Ⅳ",V97="新加算Ⅴ（１）",V97="新加算Ⅴ（２）",V97="新加算Ⅴ（３）",V97="新加算ⅠⅤ（４）",V97="新加算Ⅴ（５）",V97="新加算Ⅴ（６）",V97="新加算Ⅴ（８）",V97="新加算Ⅴ（11）"),IF(AK97="○","","未入力"),"")</f>
        <v/>
      </c>
      <c r="BB97" s="1321" t="str">
        <f>IF(OR(V97="新加算Ⅴ（７）",V97="新加算Ⅴ（９）",V97="新加算Ⅴ（10）",V97="新加算Ⅴ（12）",V97="新加算Ⅴ（13）",V97="新加算Ⅴ（14）"),IF(AL97="○","","未入力"),"")</f>
        <v/>
      </c>
      <c r="BC97" s="1321" t="str">
        <f>IF(OR(V97="新加算Ⅰ",V97="新加算Ⅱ",V97="新加算Ⅲ",V97="新加算Ⅴ（１）",V97="新加算Ⅴ（３）",V97="新加算Ⅴ（８）"),IF(AM97="○","","未入力"),"")</f>
        <v/>
      </c>
      <c r="BD97" s="1588"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493" t="str">
        <f>IF(AND(U97&lt;&gt;"（参考）令和７年度の移行予定",OR(V97="新加算Ⅰ",V97="新加算Ⅴ（１）",V97="新加算Ⅴ（２）",V97="新加算Ⅴ（５）",V97="新加算Ⅴ（７）",V97="新加算Ⅴ（10）")),IF(AO97="","未入力",IF(AO97="いずれも取得していない","要件を満たさない","")),"")</f>
        <v/>
      </c>
      <c r="BF97" s="1493" t="str">
        <f>G94</f>
        <v/>
      </c>
      <c r="BG97" s="1493"/>
      <c r="BH97" s="1493"/>
    </row>
    <row r="98" spans="1:60" ht="30" customHeight="1">
      <c r="A98" s="1241">
        <v>22</v>
      </c>
      <c r="B98" s="1272" t="str">
        <f>IF(基本情報入力シート!C75="","",基本情報入力シート!C75)</f>
        <v/>
      </c>
      <c r="C98" s="1261"/>
      <c r="D98" s="1261"/>
      <c r="E98" s="1261"/>
      <c r="F98" s="1262"/>
      <c r="G98" s="1266" t="str">
        <f>IF(基本情報入力シート!M75="","",基本情報入力シート!M75)</f>
        <v/>
      </c>
      <c r="H98" s="1266" t="str">
        <f>IF(基本情報入力シート!R75="","",基本情報入力シート!R75)</f>
        <v/>
      </c>
      <c r="I98" s="1266" t="str">
        <f>IF(基本情報入力シート!W75="","",基本情報入力シート!W75)</f>
        <v/>
      </c>
      <c r="J98" s="1372" t="str">
        <f>IF(基本情報入力シート!X75="","",基本情報入力シート!X75)</f>
        <v/>
      </c>
      <c r="K98" s="1266" t="str">
        <f>IF(基本情報入力シート!Y75="","",基本情報入力シート!Y75)</f>
        <v/>
      </c>
      <c r="L98" s="1451" t="str">
        <f>IF(基本情報入力シート!AB75="","",基本情報入力シート!AB75)</f>
        <v/>
      </c>
      <c r="M98" s="1453" t="str">
        <f>IF(基本情報入力シート!AC75="","",基本情報入力シート!AC75)</f>
        <v/>
      </c>
      <c r="N98" s="647" t="str">
        <f>IF('別紙様式2-2（４・５月分）'!Q77="","",'別紙様式2-2（４・５月分）'!Q77)</f>
        <v/>
      </c>
      <c r="O98" s="1366" t="str">
        <f>IF(SUM('別紙様式2-2（４・５月分）'!R77:R79)=0,"",SUM('別紙様式2-2（４・５月分）'!R77:R79))</f>
        <v/>
      </c>
      <c r="P98" s="1380" t="str">
        <f>IFERROR(VLOOKUP('別紙様式2-2（４・５月分）'!AR77,【参考】数式用!$AT$5:$AU$22,2,FALSE),"")</f>
        <v/>
      </c>
      <c r="Q98" s="1381"/>
      <c r="R98" s="1382"/>
      <c r="S98" s="1392" t="str">
        <f>IFERROR(VLOOKUP(K98,【参考】数式用!$A$5:$AB$27,MATCH(P98,【参考】数式用!$B$4:$AB$4,0)+1,0),"")</f>
        <v/>
      </c>
      <c r="T98" s="1413" t="s">
        <v>2258</v>
      </c>
      <c r="U98" s="1562" t="str">
        <f>IF('別紙様式2-3（６月以降分）'!U98="","",'別紙様式2-3（６月以降分）'!U98)</f>
        <v/>
      </c>
      <c r="V98" s="1457" t="str">
        <f>IFERROR(VLOOKUP(K98,【参考】数式用!$A$5:$AB$27,MATCH(U98,【参考】数式用!$B$4:$AB$4,0)+1,0),"")</f>
        <v/>
      </c>
      <c r="W98" s="1350" t="s">
        <v>19</v>
      </c>
      <c r="X98" s="1534">
        <f>'別紙様式2-3（６月以降分）'!X98</f>
        <v>6</v>
      </c>
      <c r="Y98" s="1354" t="s">
        <v>10</v>
      </c>
      <c r="Z98" s="1534">
        <f>'別紙様式2-3（６月以降分）'!Z98</f>
        <v>6</v>
      </c>
      <c r="AA98" s="1354" t="s">
        <v>45</v>
      </c>
      <c r="AB98" s="1534">
        <f>'別紙様式2-3（６月以降分）'!AB98</f>
        <v>7</v>
      </c>
      <c r="AC98" s="1354" t="s">
        <v>10</v>
      </c>
      <c r="AD98" s="1534">
        <f>'別紙様式2-3（６月以降分）'!AD98</f>
        <v>3</v>
      </c>
      <c r="AE98" s="1354" t="s">
        <v>2172</v>
      </c>
      <c r="AF98" s="1354" t="s">
        <v>24</v>
      </c>
      <c r="AG98" s="1354">
        <f>IF(X98&gt;=1,(AB98*12+AD98)-(X98*12+Z98)+1,"")</f>
        <v>10</v>
      </c>
      <c r="AH98" s="1360" t="s">
        <v>38</v>
      </c>
      <c r="AI98" s="1481" t="str">
        <f>'別紙様式2-3（６月以降分）'!AI98</f>
        <v/>
      </c>
      <c r="AJ98" s="1542" t="str">
        <f>'別紙様式2-3（６月以降分）'!AJ98</f>
        <v/>
      </c>
      <c r="AK98" s="1538">
        <f>'別紙様式2-3（６月以降分）'!AK98</f>
        <v>0</v>
      </c>
      <c r="AL98" s="1540" t="str">
        <f>IF('別紙様式2-3（６月以降分）'!AL98="","",'別紙様式2-3（６月以降分）'!AL98)</f>
        <v/>
      </c>
      <c r="AM98" s="1571">
        <f>'別紙様式2-3（６月以降分）'!AM98</f>
        <v>0</v>
      </c>
      <c r="AN98" s="1573" t="str">
        <f>IF('別紙様式2-3（６月以降分）'!AN98="","",'別紙様式2-3（６月以降分）'!AN98)</f>
        <v/>
      </c>
      <c r="AO98" s="1403" t="str">
        <f>IF('別紙様式2-3（６月以降分）'!AO98="","",'別紙様式2-3（６月以降分）'!AO98)</f>
        <v/>
      </c>
      <c r="AP98" s="1502" t="str">
        <f>IF('別紙様式2-3（６月以降分）'!AP98="","",'別紙様式2-3（６月以降分）'!AP98)</f>
        <v/>
      </c>
      <c r="AQ98" s="1403" t="str">
        <f>IF('別紙様式2-3（６月以降分）'!AQ98="","",'別紙様式2-3（６月以降分）'!AQ98)</f>
        <v/>
      </c>
      <c r="AR98" s="1583" t="str">
        <f>IF('別紙様式2-3（６月以降分）'!AR98="","",'別紙様式2-3（６月以降分）'!AR98)</f>
        <v/>
      </c>
      <c r="AS98" s="1536" t="str">
        <f>IF('別紙様式2-3（６月以降分）'!AS98="","",'別紙様式2-3（６月以降分）'!AS98)</f>
        <v/>
      </c>
      <c r="AT98" s="667" t="str">
        <f t="shared" ref="AT98" si="97">IF(AV100="","",IF(V100&lt;V98,"！加算の要件上は問題ありませんが、令和６年度当初の新加算の加算率と比較して、移行後の加算率が下がる計画になっています。",""))</f>
        <v/>
      </c>
      <c r="AU98" s="674"/>
      <c r="AV98" s="1233"/>
      <c r="AW98" s="652" t="str">
        <f>IF('別紙様式2-2（４・５月分）'!O77="","",'別紙様式2-2（４・５月分）'!O77)</f>
        <v/>
      </c>
      <c r="AX98" s="1507" t="str">
        <f>IF(SUM('別紙様式2-2（４・５月分）'!P77:P79)=0,"",SUM('別紙様式2-2（４・５月分）'!P77:P79))</f>
        <v/>
      </c>
      <c r="AY98" s="1589" t="str">
        <f>IFERROR(VLOOKUP(K98,【参考】数式用!$AJ$2:$AK$24,2,FALSE),"")</f>
        <v/>
      </c>
      <c r="AZ98" s="584"/>
      <c r="BE98" s="428"/>
      <c r="BF98" s="1493" t="str">
        <f>G98</f>
        <v/>
      </c>
      <c r="BG98" s="1493"/>
      <c r="BH98" s="1493"/>
    </row>
    <row r="99" spans="1:60" ht="15" customHeight="1">
      <c r="A99" s="1226"/>
      <c r="B99" s="1272"/>
      <c r="C99" s="1261"/>
      <c r="D99" s="1261"/>
      <c r="E99" s="1261"/>
      <c r="F99" s="1262"/>
      <c r="G99" s="1266"/>
      <c r="H99" s="1266"/>
      <c r="I99" s="1266"/>
      <c r="J99" s="1372"/>
      <c r="K99" s="1266"/>
      <c r="L99" s="1451"/>
      <c r="M99" s="1453"/>
      <c r="N99" s="1370" t="str">
        <f>IF('別紙様式2-2（４・５月分）'!Q78="","",'別紙様式2-2（４・５月分）'!Q78)</f>
        <v/>
      </c>
      <c r="O99" s="1367"/>
      <c r="P99" s="1383"/>
      <c r="Q99" s="1384"/>
      <c r="R99" s="1385"/>
      <c r="S99" s="1393"/>
      <c r="T99" s="1414"/>
      <c r="U99" s="1563"/>
      <c r="V99" s="1458"/>
      <c r="W99" s="1351"/>
      <c r="X99" s="1535"/>
      <c r="Y99" s="1355"/>
      <c r="Z99" s="1535"/>
      <c r="AA99" s="1355"/>
      <c r="AB99" s="1535"/>
      <c r="AC99" s="1355"/>
      <c r="AD99" s="1535"/>
      <c r="AE99" s="1355"/>
      <c r="AF99" s="1355"/>
      <c r="AG99" s="1355"/>
      <c r="AH99" s="1361"/>
      <c r="AI99" s="1482"/>
      <c r="AJ99" s="1543"/>
      <c r="AK99" s="1539"/>
      <c r="AL99" s="1541"/>
      <c r="AM99" s="1572"/>
      <c r="AN99" s="1574"/>
      <c r="AO99" s="1404"/>
      <c r="AP99" s="1533"/>
      <c r="AQ99" s="1404"/>
      <c r="AR99" s="1584"/>
      <c r="AS99" s="1537"/>
      <c r="AT99" s="1532" t="str">
        <f t="shared" ref="AT99" si="98">IF(AV100="","",IF(OR(AB100="",AB100&lt;&gt;7,AD100="",AD100&lt;&gt;3),"！算定期間の終わりが令和７年３月になっていません。年度内の廃止予定等がなければ、算定対象月を令和７年３月にしてください。",""))</f>
        <v/>
      </c>
      <c r="AU99" s="674"/>
      <c r="AV99" s="1493"/>
      <c r="AW99" s="1518" t="str">
        <f>IF('別紙様式2-2（４・５月分）'!O78="","",'別紙様式2-2（４・５月分）'!O78)</f>
        <v/>
      </c>
      <c r="AX99" s="1507"/>
      <c r="AY99" s="1589"/>
      <c r="AZ99" s="521"/>
      <c r="BE99" s="428"/>
      <c r="BF99" s="1493" t="str">
        <f>G98</f>
        <v/>
      </c>
      <c r="BG99" s="1493"/>
      <c r="BH99" s="1493"/>
    </row>
    <row r="100" spans="1:60" ht="15" customHeight="1">
      <c r="A100" s="1240"/>
      <c r="B100" s="1272"/>
      <c r="C100" s="1261"/>
      <c r="D100" s="1261"/>
      <c r="E100" s="1261"/>
      <c r="F100" s="1262"/>
      <c r="G100" s="1266"/>
      <c r="H100" s="1266"/>
      <c r="I100" s="1266"/>
      <c r="J100" s="1372"/>
      <c r="K100" s="1266"/>
      <c r="L100" s="1451"/>
      <c r="M100" s="1453"/>
      <c r="N100" s="1371"/>
      <c r="O100" s="1368"/>
      <c r="P100" s="1390" t="s">
        <v>2179</v>
      </c>
      <c r="Q100" s="1504" t="str">
        <f>IFERROR(VLOOKUP('別紙様式2-2（４・５月分）'!AR77,【参考】数式用!$AT$5:$AV$22,3,FALSE),"")</f>
        <v/>
      </c>
      <c r="R100" s="1388" t="s">
        <v>2190</v>
      </c>
      <c r="S100" s="1394" t="str">
        <f>IFERROR(VLOOKUP(K98,【参考】数式用!$A$5:$AB$27,MATCH(Q100,【参考】数式用!$B$4:$AB$4,0)+1,0),"")</f>
        <v/>
      </c>
      <c r="T100" s="1459" t="s">
        <v>2267</v>
      </c>
      <c r="U100" s="1569"/>
      <c r="V100" s="1463" t="str">
        <f>IFERROR(VLOOKUP(K98,【参考】数式用!$A$5:$AB$27,MATCH(U100,【参考】数式用!$B$4:$AB$4,0)+1,0),"")</f>
        <v/>
      </c>
      <c r="W100" s="1465" t="s">
        <v>19</v>
      </c>
      <c r="X100" s="1564"/>
      <c r="Y100" s="1407" t="s">
        <v>10</v>
      </c>
      <c r="Z100" s="1564"/>
      <c r="AA100" s="1407" t="s">
        <v>45</v>
      </c>
      <c r="AB100" s="1564"/>
      <c r="AC100" s="1407" t="s">
        <v>10</v>
      </c>
      <c r="AD100" s="1564"/>
      <c r="AE100" s="1407" t="s">
        <v>2172</v>
      </c>
      <c r="AF100" s="1407" t="s">
        <v>24</v>
      </c>
      <c r="AG100" s="1407" t="str">
        <f>IF(X100&gt;=1,(AB100*12+AD100)-(X100*12+Z100)+1,"")</f>
        <v/>
      </c>
      <c r="AH100" s="1409" t="s">
        <v>38</v>
      </c>
      <c r="AI100" s="1411" t="str">
        <f t="shared" ref="AI100" si="99">IFERROR(ROUNDDOWN(ROUND(L98*V100,0)*M98,0)*AG100,"")</f>
        <v/>
      </c>
      <c r="AJ100" s="1577" t="str">
        <f>IFERROR(ROUNDDOWN(ROUND((L98*(V100-AX98)),0)*M98,0)*AG100,"")</f>
        <v/>
      </c>
      <c r="AK100" s="1494" t="str">
        <f>IFERROR(ROUNDDOWN(ROUNDDOWN(ROUND(L98*VLOOKUP(K98,【参考】数式用!$A$5:$AB$27,MATCH("新加算Ⅳ",【参考】数式用!$B$4:$AB$4,0)+1,0),0)*M98,0)*AG100*0.5,0),"")</f>
        <v/>
      </c>
      <c r="AL100" s="1579"/>
      <c r="AM100" s="1585" t="str">
        <f>IFERROR(IF('別紙様式2-2（４・５月分）'!Q79="ベア加算","", IF(OR(U100="新加算Ⅰ",U100="新加算Ⅱ",U100="新加算Ⅲ",U100="新加算Ⅳ"),ROUNDDOWN(ROUND(L98*VLOOKUP(K98,【参考】数式用!$A$5:$I$27,MATCH("ベア加算",【参考】数式用!$B$4:$I$4,0)+1,0),0)*M98,0)*AG100,"")),"")</f>
        <v/>
      </c>
      <c r="AN100" s="1548"/>
      <c r="AO100" s="1554"/>
      <c r="AP100" s="1552"/>
      <c r="AQ100" s="1554"/>
      <c r="AR100" s="1556"/>
      <c r="AS100" s="1558"/>
      <c r="AT100" s="1532"/>
      <c r="AU100" s="542"/>
      <c r="AV100" s="1493" t="str">
        <f t="shared" ref="AV100" si="100">IF(OR(AB98&lt;&gt;7,AD98&lt;&gt;3),"V列に色付け","")</f>
        <v/>
      </c>
      <c r="AW100" s="1518"/>
      <c r="AX100" s="1507"/>
      <c r="AY100" s="671"/>
      <c r="AZ100" s="1321" t="str">
        <f>IF(AM100&lt;&gt;"",IF(AN100="○","入力済","未入力"),"")</f>
        <v/>
      </c>
      <c r="BA100" s="1321"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321" t="str">
        <f>IF(OR(U100="新加算Ⅴ（７）",U100="新加算Ⅴ（９）",U100="新加算Ⅴ（10）",U100="新加算Ⅴ（12）",U100="新加算Ⅴ（13）",U100="新加算Ⅴ（14）"),IF(OR(AP100="○",AP100="令和６年度中に満たす"),"入力済","未入力"),"")</f>
        <v/>
      </c>
      <c r="BC100" s="1321" t="str">
        <f>IF(OR(U100="新加算Ⅰ",U100="新加算Ⅱ",U100="新加算Ⅲ",U100="新加算Ⅴ（１）",U100="新加算Ⅴ（３）",U100="新加算Ⅴ（８）"),IF(OR(AQ100="○",AQ100="令和６年度中に満たす"),"入力済","未入力"),"")</f>
        <v/>
      </c>
      <c r="BD100" s="1588"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493" t="str">
        <f>IF(OR(U100="新加算Ⅰ",U100="新加算Ⅴ（１）",U100="新加算Ⅴ（２）",U100="新加算Ⅴ（５）",U100="新加算Ⅴ（７）",U100="新加算Ⅴ（10）"),IF(AS100="","未入力","入力済"),"")</f>
        <v/>
      </c>
      <c r="BF100" s="1493" t="str">
        <f>G98</f>
        <v/>
      </c>
      <c r="BG100" s="1493"/>
      <c r="BH100" s="1493"/>
    </row>
    <row r="101" spans="1:60" ht="30" customHeight="1" thickBot="1">
      <c r="A101" s="1227"/>
      <c r="B101" s="1376"/>
      <c r="C101" s="1377"/>
      <c r="D101" s="1377"/>
      <c r="E101" s="1377"/>
      <c r="F101" s="1378"/>
      <c r="G101" s="1267"/>
      <c r="H101" s="1267"/>
      <c r="I101" s="1267"/>
      <c r="J101" s="1373"/>
      <c r="K101" s="1267"/>
      <c r="L101" s="1452"/>
      <c r="M101" s="1454"/>
      <c r="N101" s="650" t="str">
        <f>IF('別紙様式2-2（４・５月分）'!Q79="","",'別紙様式2-2（４・５月分）'!Q79)</f>
        <v/>
      </c>
      <c r="O101" s="1369"/>
      <c r="P101" s="1391"/>
      <c r="Q101" s="1505"/>
      <c r="R101" s="1389"/>
      <c r="S101" s="1395"/>
      <c r="T101" s="1460"/>
      <c r="U101" s="1570"/>
      <c r="V101" s="1464"/>
      <c r="W101" s="1466"/>
      <c r="X101" s="1565"/>
      <c r="Y101" s="1408"/>
      <c r="Z101" s="1565"/>
      <c r="AA101" s="1408"/>
      <c r="AB101" s="1565"/>
      <c r="AC101" s="1408"/>
      <c r="AD101" s="1565"/>
      <c r="AE101" s="1408"/>
      <c r="AF101" s="1408"/>
      <c r="AG101" s="1408"/>
      <c r="AH101" s="1410"/>
      <c r="AI101" s="1412"/>
      <c r="AJ101" s="1578"/>
      <c r="AK101" s="1495"/>
      <c r="AL101" s="1580"/>
      <c r="AM101" s="1586"/>
      <c r="AN101" s="1549"/>
      <c r="AO101" s="1555"/>
      <c r="AP101" s="1553"/>
      <c r="AQ101" s="1555"/>
      <c r="AR101" s="1557"/>
      <c r="AS101" s="1559"/>
      <c r="AT101" s="672" t="str">
        <f t="shared" ref="AT101" si="101">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42"/>
      <c r="AV101" s="1493"/>
      <c r="AW101" s="652" t="str">
        <f>IF('別紙様式2-2（４・５月分）'!O79="","",'別紙様式2-2（４・５月分）'!O79)</f>
        <v/>
      </c>
      <c r="AX101" s="1507"/>
      <c r="AY101" s="673"/>
      <c r="AZ101" s="1321" t="str">
        <f>IF(OR(U101="新加算Ⅰ",U101="新加算Ⅱ",U101="新加算Ⅲ",U101="新加算Ⅳ",U101="新加算Ⅴ（１）",U101="新加算Ⅴ（２）",U101="新加算Ⅴ（３）",U101="新加算ⅠⅤ（４）",U101="新加算Ⅴ（５）",U101="新加算Ⅴ（６）",U101="新加算Ⅴ（８）",U101="新加算Ⅴ（11）"),IF(AJ101="○","","未入力"),"")</f>
        <v/>
      </c>
      <c r="BA101" s="1321" t="str">
        <f>IF(OR(V101="新加算Ⅰ",V101="新加算Ⅱ",V101="新加算Ⅲ",V101="新加算Ⅳ",V101="新加算Ⅴ（１）",V101="新加算Ⅴ（２）",V101="新加算Ⅴ（３）",V101="新加算ⅠⅤ（４）",V101="新加算Ⅴ（５）",V101="新加算Ⅴ（６）",V101="新加算Ⅴ（８）",V101="新加算Ⅴ（11）"),IF(AK101="○","","未入力"),"")</f>
        <v/>
      </c>
      <c r="BB101" s="1321" t="str">
        <f>IF(OR(V101="新加算Ⅴ（７）",V101="新加算Ⅴ（９）",V101="新加算Ⅴ（10）",V101="新加算Ⅴ（12）",V101="新加算Ⅴ（13）",V101="新加算Ⅴ（14）"),IF(AL101="○","","未入力"),"")</f>
        <v/>
      </c>
      <c r="BC101" s="1321" t="str">
        <f>IF(OR(V101="新加算Ⅰ",V101="新加算Ⅱ",V101="新加算Ⅲ",V101="新加算Ⅴ（１）",V101="新加算Ⅴ（３）",V101="新加算Ⅴ（８）"),IF(AM101="○","","未入力"),"")</f>
        <v/>
      </c>
      <c r="BD101" s="1588"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493" t="str">
        <f>IF(AND(U101&lt;&gt;"（参考）令和７年度の移行予定",OR(V101="新加算Ⅰ",V101="新加算Ⅴ（１）",V101="新加算Ⅴ（２）",V101="新加算Ⅴ（５）",V101="新加算Ⅴ（７）",V101="新加算Ⅴ（10）")),IF(AO101="","未入力",IF(AO101="いずれも取得していない","要件を満たさない","")),"")</f>
        <v/>
      </c>
      <c r="BF101" s="1493" t="str">
        <f>G98</f>
        <v/>
      </c>
      <c r="BG101" s="1493"/>
      <c r="BH101" s="1493"/>
    </row>
    <row r="102" spans="1:60" ht="30" customHeight="1">
      <c r="A102" s="1225">
        <v>23</v>
      </c>
      <c r="B102" s="1272" t="str">
        <f>IF(基本情報入力シート!C76="","",基本情報入力シート!C76)</f>
        <v/>
      </c>
      <c r="C102" s="1261"/>
      <c r="D102" s="1261"/>
      <c r="E102" s="1261"/>
      <c r="F102" s="1262"/>
      <c r="G102" s="1266" t="str">
        <f>IF(基本情報入力シート!M76="","",基本情報入力シート!M76)</f>
        <v/>
      </c>
      <c r="H102" s="1266" t="str">
        <f>IF(基本情報入力シート!R76="","",基本情報入力シート!R76)</f>
        <v/>
      </c>
      <c r="I102" s="1266" t="str">
        <f>IF(基本情報入力シート!W76="","",基本情報入力シート!W76)</f>
        <v/>
      </c>
      <c r="J102" s="1372" t="str">
        <f>IF(基本情報入力シート!X76="","",基本情報入力シート!X76)</f>
        <v/>
      </c>
      <c r="K102" s="1266" t="str">
        <f>IF(基本情報入力シート!Y76="","",基本情報入力シート!Y76)</f>
        <v/>
      </c>
      <c r="L102" s="1451" t="str">
        <f>IF(基本情報入力シート!AB76="","",基本情報入力シート!AB76)</f>
        <v/>
      </c>
      <c r="M102" s="1453" t="str">
        <f>IF(基本情報入力シート!AC76="","",基本情報入力シート!AC76)</f>
        <v/>
      </c>
      <c r="N102" s="647" t="str">
        <f>IF('別紙様式2-2（４・５月分）'!Q80="","",'別紙様式2-2（４・５月分）'!Q80)</f>
        <v/>
      </c>
      <c r="O102" s="1366" t="str">
        <f>IF(SUM('別紙様式2-2（４・５月分）'!R80:R82)=0,"",SUM('別紙様式2-2（４・５月分）'!R80:R82))</f>
        <v/>
      </c>
      <c r="P102" s="1380" t="str">
        <f>IFERROR(VLOOKUP('別紙様式2-2（４・５月分）'!AR80,【参考】数式用!$AT$5:$AU$22,2,FALSE),"")</f>
        <v/>
      </c>
      <c r="Q102" s="1381"/>
      <c r="R102" s="1382"/>
      <c r="S102" s="1392" t="str">
        <f>IFERROR(VLOOKUP(K102,【参考】数式用!$A$5:$AB$27,MATCH(P102,【参考】数式用!$B$4:$AB$4,0)+1,0),"")</f>
        <v/>
      </c>
      <c r="T102" s="1413" t="s">
        <v>2258</v>
      </c>
      <c r="U102" s="1562" t="str">
        <f>IF('別紙様式2-3（６月以降分）'!U102="","",'別紙様式2-3（６月以降分）'!U102)</f>
        <v/>
      </c>
      <c r="V102" s="1457" t="str">
        <f>IFERROR(VLOOKUP(K102,【参考】数式用!$A$5:$AB$27,MATCH(U102,【参考】数式用!$B$4:$AB$4,0)+1,0),"")</f>
        <v/>
      </c>
      <c r="W102" s="1350" t="s">
        <v>19</v>
      </c>
      <c r="X102" s="1534">
        <f>'別紙様式2-3（６月以降分）'!X102</f>
        <v>6</v>
      </c>
      <c r="Y102" s="1354" t="s">
        <v>10</v>
      </c>
      <c r="Z102" s="1534">
        <f>'別紙様式2-3（６月以降分）'!Z102</f>
        <v>6</v>
      </c>
      <c r="AA102" s="1354" t="s">
        <v>45</v>
      </c>
      <c r="AB102" s="1534">
        <f>'別紙様式2-3（６月以降分）'!AB102</f>
        <v>7</v>
      </c>
      <c r="AC102" s="1354" t="s">
        <v>10</v>
      </c>
      <c r="AD102" s="1534">
        <f>'別紙様式2-3（６月以降分）'!AD102</f>
        <v>3</v>
      </c>
      <c r="AE102" s="1354" t="s">
        <v>2172</v>
      </c>
      <c r="AF102" s="1354" t="s">
        <v>24</v>
      </c>
      <c r="AG102" s="1354">
        <f>IF(X102&gt;=1,(AB102*12+AD102)-(X102*12+Z102)+1,"")</f>
        <v>10</v>
      </c>
      <c r="AH102" s="1360" t="s">
        <v>38</v>
      </c>
      <c r="AI102" s="1481" t="str">
        <f>'別紙様式2-3（６月以降分）'!AI102</f>
        <v/>
      </c>
      <c r="AJ102" s="1542" t="str">
        <f>'別紙様式2-3（６月以降分）'!AJ102</f>
        <v/>
      </c>
      <c r="AK102" s="1538">
        <f>'別紙様式2-3（６月以降分）'!AK102</f>
        <v>0</v>
      </c>
      <c r="AL102" s="1540" t="str">
        <f>IF('別紙様式2-3（６月以降分）'!AL102="","",'別紙様式2-3（６月以降分）'!AL102)</f>
        <v/>
      </c>
      <c r="AM102" s="1571">
        <f>'別紙様式2-3（６月以降分）'!AM102</f>
        <v>0</v>
      </c>
      <c r="AN102" s="1573" t="str">
        <f>IF('別紙様式2-3（６月以降分）'!AN102="","",'別紙様式2-3（６月以降分）'!AN102)</f>
        <v/>
      </c>
      <c r="AO102" s="1403" t="str">
        <f>IF('別紙様式2-3（６月以降分）'!AO102="","",'別紙様式2-3（６月以降分）'!AO102)</f>
        <v/>
      </c>
      <c r="AP102" s="1502" t="str">
        <f>IF('別紙様式2-3（６月以降分）'!AP102="","",'別紙様式2-3（６月以降分）'!AP102)</f>
        <v/>
      </c>
      <c r="AQ102" s="1403" t="str">
        <f>IF('別紙様式2-3（６月以降分）'!AQ102="","",'別紙様式2-3（６月以降分）'!AQ102)</f>
        <v/>
      </c>
      <c r="AR102" s="1583" t="str">
        <f>IF('別紙様式2-3（６月以降分）'!AR102="","",'別紙様式2-3（６月以降分）'!AR102)</f>
        <v/>
      </c>
      <c r="AS102" s="1536" t="str">
        <f>IF('別紙様式2-3（６月以降分）'!AS102="","",'別紙様式2-3（６月以降分）'!AS102)</f>
        <v/>
      </c>
      <c r="AT102" s="667" t="str">
        <f t="shared" ref="AT102" si="102">IF(AV104="","",IF(V104&lt;V102,"！加算の要件上は問題ありませんが、令和６年度当初の新加算の加算率と比較して、移行後の加算率が下がる計画になっています。",""))</f>
        <v/>
      </c>
      <c r="AU102" s="674"/>
      <c r="AV102" s="1233"/>
      <c r="AW102" s="652" t="str">
        <f>IF('別紙様式2-2（４・５月分）'!O80="","",'別紙様式2-2（４・５月分）'!O80)</f>
        <v/>
      </c>
      <c r="AX102" s="1507" t="str">
        <f>IF(SUM('別紙様式2-2（４・５月分）'!P80:P82)=0,"",SUM('別紙様式2-2（４・５月分）'!P80:P82))</f>
        <v/>
      </c>
      <c r="AY102" s="1590" t="str">
        <f>IFERROR(VLOOKUP(K102,【参考】数式用!$AJ$2:$AK$24,2,FALSE),"")</f>
        <v/>
      </c>
      <c r="AZ102" s="584"/>
      <c r="BE102" s="428"/>
      <c r="BF102" s="1493" t="str">
        <f>G102</f>
        <v/>
      </c>
      <c r="BG102" s="1493"/>
      <c r="BH102" s="1493"/>
    </row>
    <row r="103" spans="1:60" ht="15" customHeight="1">
      <c r="A103" s="1226"/>
      <c r="B103" s="1272"/>
      <c r="C103" s="1261"/>
      <c r="D103" s="1261"/>
      <c r="E103" s="1261"/>
      <c r="F103" s="1262"/>
      <c r="G103" s="1266"/>
      <c r="H103" s="1266"/>
      <c r="I103" s="1266"/>
      <c r="J103" s="1372"/>
      <c r="K103" s="1266"/>
      <c r="L103" s="1451"/>
      <c r="M103" s="1453"/>
      <c r="N103" s="1370" t="str">
        <f>IF('別紙様式2-2（４・５月分）'!Q81="","",'別紙様式2-2（４・５月分）'!Q81)</f>
        <v/>
      </c>
      <c r="O103" s="1367"/>
      <c r="P103" s="1383"/>
      <c r="Q103" s="1384"/>
      <c r="R103" s="1385"/>
      <c r="S103" s="1393"/>
      <c r="T103" s="1414"/>
      <c r="U103" s="1563"/>
      <c r="V103" s="1458"/>
      <c r="W103" s="1351"/>
      <c r="X103" s="1535"/>
      <c r="Y103" s="1355"/>
      <c r="Z103" s="1535"/>
      <c r="AA103" s="1355"/>
      <c r="AB103" s="1535"/>
      <c r="AC103" s="1355"/>
      <c r="AD103" s="1535"/>
      <c r="AE103" s="1355"/>
      <c r="AF103" s="1355"/>
      <c r="AG103" s="1355"/>
      <c r="AH103" s="1361"/>
      <c r="AI103" s="1482"/>
      <c r="AJ103" s="1543"/>
      <c r="AK103" s="1539"/>
      <c r="AL103" s="1541"/>
      <c r="AM103" s="1572"/>
      <c r="AN103" s="1574"/>
      <c r="AO103" s="1404"/>
      <c r="AP103" s="1533"/>
      <c r="AQ103" s="1404"/>
      <c r="AR103" s="1584"/>
      <c r="AS103" s="1537"/>
      <c r="AT103" s="1532" t="str">
        <f t="shared" ref="AT103" si="103">IF(AV104="","",IF(OR(AB104="",AB104&lt;&gt;7,AD104="",AD104&lt;&gt;3),"！算定期間の終わりが令和７年３月になっていません。年度内の廃止予定等がなければ、算定対象月を令和７年３月にしてください。",""))</f>
        <v/>
      </c>
      <c r="AU103" s="674"/>
      <c r="AV103" s="1493"/>
      <c r="AW103" s="1518" t="str">
        <f>IF('別紙様式2-2（４・５月分）'!O81="","",'別紙様式2-2（４・５月分）'!O81)</f>
        <v/>
      </c>
      <c r="AX103" s="1507"/>
      <c r="AY103" s="1589"/>
      <c r="AZ103" s="521"/>
      <c r="BE103" s="428"/>
      <c r="BF103" s="1493" t="str">
        <f>G102</f>
        <v/>
      </c>
      <c r="BG103" s="1493"/>
      <c r="BH103" s="1493"/>
    </row>
    <row r="104" spans="1:60" ht="15" customHeight="1">
      <c r="A104" s="1240"/>
      <c r="B104" s="1272"/>
      <c r="C104" s="1261"/>
      <c r="D104" s="1261"/>
      <c r="E104" s="1261"/>
      <c r="F104" s="1262"/>
      <c r="G104" s="1266"/>
      <c r="H104" s="1266"/>
      <c r="I104" s="1266"/>
      <c r="J104" s="1372"/>
      <c r="K104" s="1266"/>
      <c r="L104" s="1451"/>
      <c r="M104" s="1453"/>
      <c r="N104" s="1371"/>
      <c r="O104" s="1368"/>
      <c r="P104" s="1390" t="s">
        <v>2179</v>
      </c>
      <c r="Q104" s="1504" t="str">
        <f>IFERROR(VLOOKUP('別紙様式2-2（４・５月分）'!AR80,【参考】数式用!$AT$5:$AV$22,3,FALSE),"")</f>
        <v/>
      </c>
      <c r="R104" s="1388" t="s">
        <v>2190</v>
      </c>
      <c r="S104" s="1394" t="str">
        <f>IFERROR(VLOOKUP(K102,【参考】数式用!$A$5:$AB$27,MATCH(Q104,【参考】数式用!$B$4:$AB$4,0)+1,0),"")</f>
        <v/>
      </c>
      <c r="T104" s="1459" t="s">
        <v>2267</v>
      </c>
      <c r="U104" s="1569"/>
      <c r="V104" s="1463" t="str">
        <f>IFERROR(VLOOKUP(K102,【参考】数式用!$A$5:$AB$27,MATCH(U104,【参考】数式用!$B$4:$AB$4,0)+1,0),"")</f>
        <v/>
      </c>
      <c r="W104" s="1465" t="s">
        <v>19</v>
      </c>
      <c r="X104" s="1564"/>
      <c r="Y104" s="1407" t="s">
        <v>10</v>
      </c>
      <c r="Z104" s="1564"/>
      <c r="AA104" s="1407" t="s">
        <v>45</v>
      </c>
      <c r="AB104" s="1564"/>
      <c r="AC104" s="1407" t="s">
        <v>10</v>
      </c>
      <c r="AD104" s="1564"/>
      <c r="AE104" s="1407" t="s">
        <v>2172</v>
      </c>
      <c r="AF104" s="1407" t="s">
        <v>24</v>
      </c>
      <c r="AG104" s="1407" t="str">
        <f>IF(X104&gt;=1,(AB104*12+AD104)-(X104*12+Z104)+1,"")</f>
        <v/>
      </c>
      <c r="AH104" s="1409" t="s">
        <v>38</v>
      </c>
      <c r="AI104" s="1411" t="str">
        <f t="shared" ref="AI104" si="104">IFERROR(ROUNDDOWN(ROUND(L102*V104,0)*M102,0)*AG104,"")</f>
        <v/>
      </c>
      <c r="AJ104" s="1577" t="str">
        <f>IFERROR(ROUNDDOWN(ROUND((L102*(V104-AX102)),0)*M102,0)*AG104,"")</f>
        <v/>
      </c>
      <c r="AK104" s="1494" t="str">
        <f>IFERROR(ROUNDDOWN(ROUNDDOWN(ROUND(L102*VLOOKUP(K102,【参考】数式用!$A$5:$AB$27,MATCH("新加算Ⅳ",【参考】数式用!$B$4:$AB$4,0)+1,0),0)*M102,0)*AG104*0.5,0),"")</f>
        <v/>
      </c>
      <c r="AL104" s="1579"/>
      <c r="AM104" s="1585" t="str">
        <f>IFERROR(IF('別紙様式2-2（４・５月分）'!Q82="ベア加算","", IF(OR(U104="新加算Ⅰ",U104="新加算Ⅱ",U104="新加算Ⅲ",U104="新加算Ⅳ"),ROUNDDOWN(ROUND(L102*VLOOKUP(K102,【参考】数式用!$A$5:$I$27,MATCH("ベア加算",【参考】数式用!$B$4:$I$4,0)+1,0),0)*M102,0)*AG104,"")),"")</f>
        <v/>
      </c>
      <c r="AN104" s="1548"/>
      <c r="AO104" s="1554"/>
      <c r="AP104" s="1552"/>
      <c r="AQ104" s="1554"/>
      <c r="AR104" s="1556"/>
      <c r="AS104" s="1558"/>
      <c r="AT104" s="1532"/>
      <c r="AU104" s="542"/>
      <c r="AV104" s="1493" t="str">
        <f t="shared" ref="AV104" si="105">IF(OR(AB102&lt;&gt;7,AD102&lt;&gt;3),"V列に色付け","")</f>
        <v/>
      </c>
      <c r="AW104" s="1518"/>
      <c r="AX104" s="1507"/>
      <c r="AY104" s="671"/>
      <c r="AZ104" s="1321" t="str">
        <f>IF(AM104&lt;&gt;"",IF(AN104="○","入力済","未入力"),"")</f>
        <v/>
      </c>
      <c r="BA104" s="1321"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321" t="str">
        <f>IF(OR(U104="新加算Ⅴ（７）",U104="新加算Ⅴ（９）",U104="新加算Ⅴ（10）",U104="新加算Ⅴ（12）",U104="新加算Ⅴ（13）",U104="新加算Ⅴ（14）"),IF(OR(AP104="○",AP104="令和６年度中に満たす"),"入力済","未入力"),"")</f>
        <v/>
      </c>
      <c r="BC104" s="1321" t="str">
        <f>IF(OR(U104="新加算Ⅰ",U104="新加算Ⅱ",U104="新加算Ⅲ",U104="新加算Ⅴ（１）",U104="新加算Ⅴ（３）",U104="新加算Ⅴ（８）"),IF(OR(AQ104="○",AQ104="令和６年度中に満たす"),"入力済","未入力"),"")</f>
        <v/>
      </c>
      <c r="BD104" s="1588"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493" t="str">
        <f>IF(OR(U104="新加算Ⅰ",U104="新加算Ⅴ（１）",U104="新加算Ⅴ（２）",U104="新加算Ⅴ（５）",U104="新加算Ⅴ（７）",U104="新加算Ⅴ（10）"),IF(AS104="","未入力","入力済"),"")</f>
        <v/>
      </c>
      <c r="BF104" s="1493" t="str">
        <f>G102</f>
        <v/>
      </c>
      <c r="BG104" s="1493"/>
      <c r="BH104" s="1493"/>
    </row>
    <row r="105" spans="1:60" ht="30" customHeight="1" thickBot="1">
      <c r="A105" s="1227"/>
      <c r="B105" s="1376"/>
      <c r="C105" s="1377"/>
      <c r="D105" s="1377"/>
      <c r="E105" s="1377"/>
      <c r="F105" s="1378"/>
      <c r="G105" s="1267"/>
      <c r="H105" s="1267"/>
      <c r="I105" s="1267"/>
      <c r="J105" s="1373"/>
      <c r="K105" s="1267"/>
      <c r="L105" s="1452"/>
      <c r="M105" s="1454"/>
      <c r="N105" s="650" t="str">
        <f>IF('別紙様式2-2（４・５月分）'!Q82="","",'別紙様式2-2（４・５月分）'!Q82)</f>
        <v/>
      </c>
      <c r="O105" s="1369"/>
      <c r="P105" s="1391"/>
      <c r="Q105" s="1505"/>
      <c r="R105" s="1389"/>
      <c r="S105" s="1395"/>
      <c r="T105" s="1460"/>
      <c r="U105" s="1570"/>
      <c r="V105" s="1464"/>
      <c r="W105" s="1466"/>
      <c r="X105" s="1565"/>
      <c r="Y105" s="1408"/>
      <c r="Z105" s="1565"/>
      <c r="AA105" s="1408"/>
      <c r="AB105" s="1565"/>
      <c r="AC105" s="1408"/>
      <c r="AD105" s="1565"/>
      <c r="AE105" s="1408"/>
      <c r="AF105" s="1408"/>
      <c r="AG105" s="1408"/>
      <c r="AH105" s="1410"/>
      <c r="AI105" s="1412"/>
      <c r="AJ105" s="1578"/>
      <c r="AK105" s="1495"/>
      <c r="AL105" s="1580"/>
      <c r="AM105" s="1586"/>
      <c r="AN105" s="1549"/>
      <c r="AO105" s="1555"/>
      <c r="AP105" s="1553"/>
      <c r="AQ105" s="1555"/>
      <c r="AR105" s="1557"/>
      <c r="AS105" s="1559"/>
      <c r="AT105" s="672" t="str">
        <f t="shared" ref="AT105" si="106">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42"/>
      <c r="AV105" s="1493"/>
      <c r="AW105" s="652" t="str">
        <f>IF('別紙様式2-2（４・５月分）'!O82="","",'別紙様式2-2（４・５月分）'!O82)</f>
        <v/>
      </c>
      <c r="AX105" s="1507"/>
      <c r="AY105" s="673"/>
      <c r="AZ105" s="1321" t="str">
        <f>IF(OR(U105="新加算Ⅰ",U105="新加算Ⅱ",U105="新加算Ⅲ",U105="新加算Ⅳ",U105="新加算Ⅴ（１）",U105="新加算Ⅴ（２）",U105="新加算Ⅴ（３）",U105="新加算ⅠⅤ（４）",U105="新加算Ⅴ（５）",U105="新加算Ⅴ（６）",U105="新加算Ⅴ（８）",U105="新加算Ⅴ（11）"),IF(AJ105="○","","未入力"),"")</f>
        <v/>
      </c>
      <c r="BA105" s="1321" t="str">
        <f>IF(OR(V105="新加算Ⅰ",V105="新加算Ⅱ",V105="新加算Ⅲ",V105="新加算Ⅳ",V105="新加算Ⅴ（１）",V105="新加算Ⅴ（２）",V105="新加算Ⅴ（３）",V105="新加算ⅠⅤ（４）",V105="新加算Ⅴ（５）",V105="新加算Ⅴ（６）",V105="新加算Ⅴ（８）",V105="新加算Ⅴ（11）"),IF(AK105="○","","未入力"),"")</f>
        <v/>
      </c>
      <c r="BB105" s="1321" t="str">
        <f>IF(OR(V105="新加算Ⅴ（７）",V105="新加算Ⅴ（９）",V105="新加算Ⅴ（10）",V105="新加算Ⅴ（12）",V105="新加算Ⅴ（13）",V105="新加算Ⅴ（14）"),IF(AL105="○","","未入力"),"")</f>
        <v/>
      </c>
      <c r="BC105" s="1321" t="str">
        <f>IF(OR(V105="新加算Ⅰ",V105="新加算Ⅱ",V105="新加算Ⅲ",V105="新加算Ⅴ（１）",V105="新加算Ⅴ（３）",V105="新加算Ⅴ（８）"),IF(AM105="○","","未入力"),"")</f>
        <v/>
      </c>
      <c r="BD105" s="1588"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493" t="str">
        <f>IF(AND(U105&lt;&gt;"（参考）令和７年度の移行予定",OR(V105="新加算Ⅰ",V105="新加算Ⅴ（１）",V105="新加算Ⅴ（２）",V105="新加算Ⅴ（５）",V105="新加算Ⅴ（７）",V105="新加算Ⅴ（10）")),IF(AO105="","未入力",IF(AO105="いずれも取得していない","要件を満たさない","")),"")</f>
        <v/>
      </c>
      <c r="BF105" s="1493" t="str">
        <f>G102</f>
        <v/>
      </c>
      <c r="BG105" s="1493"/>
      <c r="BH105" s="1493"/>
    </row>
    <row r="106" spans="1:60" ht="30" customHeight="1">
      <c r="A106" s="1241">
        <v>24</v>
      </c>
      <c r="B106" s="1271" t="str">
        <f>IF(基本情報入力シート!C77="","",基本情報入力シート!C77)</f>
        <v/>
      </c>
      <c r="C106" s="1259"/>
      <c r="D106" s="1259"/>
      <c r="E106" s="1259"/>
      <c r="F106" s="1260"/>
      <c r="G106" s="1265" t="str">
        <f>IF(基本情報入力シート!M77="","",基本情報入力シート!M77)</f>
        <v/>
      </c>
      <c r="H106" s="1265" t="str">
        <f>IF(基本情報入力シート!R77="","",基本情報入力シート!R77)</f>
        <v/>
      </c>
      <c r="I106" s="1265" t="str">
        <f>IF(基本情報入力シート!W77="","",基本情報入力シート!W77)</f>
        <v/>
      </c>
      <c r="J106" s="1379" t="str">
        <f>IF(基本情報入力シート!X77="","",基本情報入力シート!X77)</f>
        <v/>
      </c>
      <c r="K106" s="1265" t="str">
        <f>IF(基本情報入力シート!Y77="","",基本情報入力シート!Y77)</f>
        <v/>
      </c>
      <c r="L106" s="1450" t="str">
        <f>IF(基本情報入力シート!AB77="","",基本情報入力シート!AB77)</f>
        <v/>
      </c>
      <c r="M106" s="1447" t="str">
        <f>IF(基本情報入力シート!AC77="","",基本情報入力シート!AC77)</f>
        <v/>
      </c>
      <c r="N106" s="647" t="str">
        <f>IF('別紙様式2-2（４・５月分）'!Q83="","",'別紙様式2-2（４・５月分）'!Q83)</f>
        <v/>
      </c>
      <c r="O106" s="1366" t="str">
        <f>IF(SUM('別紙様式2-2（４・５月分）'!R83:R85)=0,"",SUM('別紙様式2-2（４・５月分）'!R83:R85))</f>
        <v/>
      </c>
      <c r="P106" s="1380" t="str">
        <f>IFERROR(VLOOKUP('別紙様式2-2（４・５月分）'!AR83,【参考】数式用!$AT$5:$AU$22,2,FALSE),"")</f>
        <v/>
      </c>
      <c r="Q106" s="1381"/>
      <c r="R106" s="1382"/>
      <c r="S106" s="1392" t="str">
        <f>IFERROR(VLOOKUP(K106,【参考】数式用!$A$5:$AB$27,MATCH(P106,【参考】数式用!$B$4:$AB$4,0)+1,0),"")</f>
        <v/>
      </c>
      <c r="T106" s="1413" t="s">
        <v>2258</v>
      </c>
      <c r="U106" s="1562" t="str">
        <f>IF('別紙様式2-3（６月以降分）'!U106="","",'別紙様式2-3（６月以降分）'!U106)</f>
        <v/>
      </c>
      <c r="V106" s="1457" t="str">
        <f>IFERROR(VLOOKUP(K106,【参考】数式用!$A$5:$AB$27,MATCH(U106,【参考】数式用!$B$4:$AB$4,0)+1,0),"")</f>
        <v/>
      </c>
      <c r="W106" s="1350" t="s">
        <v>19</v>
      </c>
      <c r="X106" s="1534">
        <f>'別紙様式2-3（６月以降分）'!X106</f>
        <v>6</v>
      </c>
      <c r="Y106" s="1354" t="s">
        <v>10</v>
      </c>
      <c r="Z106" s="1534">
        <f>'別紙様式2-3（６月以降分）'!Z106</f>
        <v>6</v>
      </c>
      <c r="AA106" s="1354" t="s">
        <v>45</v>
      </c>
      <c r="AB106" s="1534">
        <f>'別紙様式2-3（６月以降分）'!AB106</f>
        <v>7</v>
      </c>
      <c r="AC106" s="1354" t="s">
        <v>10</v>
      </c>
      <c r="AD106" s="1534">
        <f>'別紙様式2-3（６月以降分）'!AD106</f>
        <v>3</v>
      </c>
      <c r="AE106" s="1354" t="s">
        <v>2172</v>
      </c>
      <c r="AF106" s="1354" t="s">
        <v>24</v>
      </c>
      <c r="AG106" s="1354">
        <f>IF(X106&gt;=1,(AB106*12+AD106)-(X106*12+Z106)+1,"")</f>
        <v>10</v>
      </c>
      <c r="AH106" s="1360" t="s">
        <v>38</v>
      </c>
      <c r="AI106" s="1481" t="str">
        <f>'別紙様式2-3（６月以降分）'!AI106</f>
        <v/>
      </c>
      <c r="AJ106" s="1542" t="str">
        <f>'別紙様式2-3（６月以降分）'!AJ106</f>
        <v/>
      </c>
      <c r="AK106" s="1538">
        <f>'別紙様式2-3（６月以降分）'!AK106</f>
        <v>0</v>
      </c>
      <c r="AL106" s="1540" t="str">
        <f>IF('別紙様式2-3（６月以降分）'!AL106="","",'別紙様式2-3（６月以降分）'!AL106)</f>
        <v/>
      </c>
      <c r="AM106" s="1571">
        <f>'別紙様式2-3（６月以降分）'!AM106</f>
        <v>0</v>
      </c>
      <c r="AN106" s="1573" t="str">
        <f>IF('別紙様式2-3（６月以降分）'!AN106="","",'別紙様式2-3（６月以降分）'!AN106)</f>
        <v/>
      </c>
      <c r="AO106" s="1403" t="str">
        <f>IF('別紙様式2-3（６月以降分）'!AO106="","",'別紙様式2-3（６月以降分）'!AO106)</f>
        <v/>
      </c>
      <c r="AP106" s="1502" t="str">
        <f>IF('別紙様式2-3（６月以降分）'!AP106="","",'別紙様式2-3（６月以降分）'!AP106)</f>
        <v/>
      </c>
      <c r="AQ106" s="1403" t="str">
        <f>IF('別紙様式2-3（６月以降分）'!AQ106="","",'別紙様式2-3（６月以降分）'!AQ106)</f>
        <v/>
      </c>
      <c r="AR106" s="1583" t="str">
        <f>IF('別紙様式2-3（６月以降分）'!AR106="","",'別紙様式2-3（６月以降分）'!AR106)</f>
        <v/>
      </c>
      <c r="AS106" s="1536" t="str">
        <f>IF('別紙様式2-3（６月以降分）'!AS106="","",'別紙様式2-3（６月以降分）'!AS106)</f>
        <v/>
      </c>
      <c r="AT106" s="667" t="str">
        <f t="shared" ref="AT106" si="107">IF(AV108="","",IF(V108&lt;V106,"！加算の要件上は問題ありませんが、令和６年度当初の新加算の加算率と比較して、移行後の加算率が下がる計画になっています。",""))</f>
        <v/>
      </c>
      <c r="AU106" s="674"/>
      <c r="AV106" s="1233"/>
      <c r="AW106" s="652" t="str">
        <f>IF('別紙様式2-2（４・５月分）'!O83="","",'別紙様式2-2（４・５月分）'!O83)</f>
        <v/>
      </c>
      <c r="AX106" s="1507" t="str">
        <f>IF(SUM('別紙様式2-2（４・５月分）'!P83:P85)=0,"",SUM('別紙様式2-2（４・５月分）'!P83:P85))</f>
        <v/>
      </c>
      <c r="AY106" s="1589" t="str">
        <f>IFERROR(VLOOKUP(K106,【参考】数式用!$AJ$2:$AK$24,2,FALSE),"")</f>
        <v/>
      </c>
      <c r="AZ106" s="584"/>
      <c r="BE106" s="428"/>
      <c r="BF106" s="1493" t="str">
        <f>G106</f>
        <v/>
      </c>
      <c r="BG106" s="1493"/>
      <c r="BH106" s="1493"/>
    </row>
    <row r="107" spans="1:60" ht="15" customHeight="1">
      <c r="A107" s="1226"/>
      <c r="B107" s="1272"/>
      <c r="C107" s="1261"/>
      <c r="D107" s="1261"/>
      <c r="E107" s="1261"/>
      <c r="F107" s="1262"/>
      <c r="G107" s="1266"/>
      <c r="H107" s="1266"/>
      <c r="I107" s="1266"/>
      <c r="J107" s="1372"/>
      <c r="K107" s="1266"/>
      <c r="L107" s="1451"/>
      <c r="M107" s="1448"/>
      <c r="N107" s="1370" t="str">
        <f>IF('別紙様式2-2（４・５月分）'!Q84="","",'別紙様式2-2（４・５月分）'!Q84)</f>
        <v/>
      </c>
      <c r="O107" s="1367"/>
      <c r="P107" s="1383"/>
      <c r="Q107" s="1384"/>
      <c r="R107" s="1385"/>
      <c r="S107" s="1393"/>
      <c r="T107" s="1414"/>
      <c r="U107" s="1563"/>
      <c r="V107" s="1458"/>
      <c r="W107" s="1351"/>
      <c r="X107" s="1535"/>
      <c r="Y107" s="1355"/>
      <c r="Z107" s="1535"/>
      <c r="AA107" s="1355"/>
      <c r="AB107" s="1535"/>
      <c r="AC107" s="1355"/>
      <c r="AD107" s="1535"/>
      <c r="AE107" s="1355"/>
      <c r="AF107" s="1355"/>
      <c r="AG107" s="1355"/>
      <c r="AH107" s="1361"/>
      <c r="AI107" s="1482"/>
      <c r="AJ107" s="1543"/>
      <c r="AK107" s="1539"/>
      <c r="AL107" s="1541"/>
      <c r="AM107" s="1572"/>
      <c r="AN107" s="1574"/>
      <c r="AO107" s="1404"/>
      <c r="AP107" s="1533"/>
      <c r="AQ107" s="1404"/>
      <c r="AR107" s="1584"/>
      <c r="AS107" s="1537"/>
      <c r="AT107" s="1532" t="str">
        <f t="shared" ref="AT107" si="108">IF(AV108="","",IF(OR(AB108="",AB108&lt;&gt;7,AD108="",AD108&lt;&gt;3),"！算定期間の終わりが令和７年３月になっていません。年度内の廃止予定等がなければ、算定対象月を令和７年３月にしてください。",""))</f>
        <v/>
      </c>
      <c r="AU107" s="674"/>
      <c r="AV107" s="1493"/>
      <c r="AW107" s="1518" t="str">
        <f>IF('別紙様式2-2（４・５月分）'!O84="","",'別紙様式2-2（４・５月分）'!O84)</f>
        <v/>
      </c>
      <c r="AX107" s="1507"/>
      <c r="AY107" s="1589"/>
      <c r="AZ107" s="521"/>
      <c r="BE107" s="428"/>
      <c r="BF107" s="1493" t="str">
        <f>G106</f>
        <v/>
      </c>
      <c r="BG107" s="1493"/>
      <c r="BH107" s="1493"/>
    </row>
    <row r="108" spans="1:60" ht="15" customHeight="1">
      <c r="A108" s="1240"/>
      <c r="B108" s="1272"/>
      <c r="C108" s="1261"/>
      <c r="D108" s="1261"/>
      <c r="E108" s="1261"/>
      <c r="F108" s="1262"/>
      <c r="G108" s="1266"/>
      <c r="H108" s="1266"/>
      <c r="I108" s="1266"/>
      <c r="J108" s="1372"/>
      <c r="K108" s="1266"/>
      <c r="L108" s="1451"/>
      <c r="M108" s="1448"/>
      <c r="N108" s="1371"/>
      <c r="O108" s="1368"/>
      <c r="P108" s="1390" t="s">
        <v>2179</v>
      </c>
      <c r="Q108" s="1504" t="str">
        <f>IFERROR(VLOOKUP('別紙様式2-2（４・５月分）'!AR83,【参考】数式用!$AT$5:$AV$22,3,FALSE),"")</f>
        <v/>
      </c>
      <c r="R108" s="1388" t="s">
        <v>2190</v>
      </c>
      <c r="S108" s="1396" t="str">
        <f>IFERROR(VLOOKUP(K106,【参考】数式用!$A$5:$AB$27,MATCH(Q108,【参考】数式用!$B$4:$AB$4,0)+1,0),"")</f>
        <v/>
      </c>
      <c r="T108" s="1459" t="s">
        <v>2267</v>
      </c>
      <c r="U108" s="1569"/>
      <c r="V108" s="1463" t="str">
        <f>IFERROR(VLOOKUP(K106,【参考】数式用!$A$5:$AB$27,MATCH(U108,【参考】数式用!$B$4:$AB$4,0)+1,0),"")</f>
        <v/>
      </c>
      <c r="W108" s="1465" t="s">
        <v>19</v>
      </c>
      <c r="X108" s="1564"/>
      <c r="Y108" s="1407" t="s">
        <v>10</v>
      </c>
      <c r="Z108" s="1564"/>
      <c r="AA108" s="1407" t="s">
        <v>45</v>
      </c>
      <c r="AB108" s="1564"/>
      <c r="AC108" s="1407" t="s">
        <v>10</v>
      </c>
      <c r="AD108" s="1564"/>
      <c r="AE108" s="1407" t="s">
        <v>2172</v>
      </c>
      <c r="AF108" s="1407" t="s">
        <v>24</v>
      </c>
      <c r="AG108" s="1407" t="str">
        <f>IF(X108&gt;=1,(AB108*12+AD108)-(X108*12+Z108)+1,"")</f>
        <v/>
      </c>
      <c r="AH108" s="1409" t="s">
        <v>38</v>
      </c>
      <c r="AI108" s="1411" t="str">
        <f t="shared" ref="AI108" si="109">IFERROR(ROUNDDOWN(ROUND(L106*V108,0)*M106,0)*AG108,"")</f>
        <v/>
      </c>
      <c r="AJ108" s="1577" t="str">
        <f>IFERROR(ROUNDDOWN(ROUND((L106*(V108-AX106)),0)*M106,0)*AG108,"")</f>
        <v/>
      </c>
      <c r="AK108" s="1494" t="str">
        <f>IFERROR(ROUNDDOWN(ROUNDDOWN(ROUND(L106*VLOOKUP(K106,【参考】数式用!$A$5:$AB$27,MATCH("新加算Ⅳ",【参考】数式用!$B$4:$AB$4,0)+1,0),0)*M106,0)*AG108*0.5,0),"")</f>
        <v/>
      </c>
      <c r="AL108" s="1579"/>
      <c r="AM108" s="1585" t="str">
        <f>IFERROR(IF('別紙様式2-2（４・５月分）'!Q85="ベア加算","", IF(OR(U108="新加算Ⅰ",U108="新加算Ⅱ",U108="新加算Ⅲ",U108="新加算Ⅳ"),ROUNDDOWN(ROUND(L106*VLOOKUP(K106,【参考】数式用!$A$5:$I$27,MATCH("ベア加算",【参考】数式用!$B$4:$I$4,0)+1,0),0)*M106,0)*AG108,"")),"")</f>
        <v/>
      </c>
      <c r="AN108" s="1548"/>
      <c r="AO108" s="1554"/>
      <c r="AP108" s="1552"/>
      <c r="AQ108" s="1554"/>
      <c r="AR108" s="1556"/>
      <c r="AS108" s="1558"/>
      <c r="AT108" s="1532"/>
      <c r="AU108" s="542"/>
      <c r="AV108" s="1493" t="str">
        <f t="shared" ref="AV108" si="110">IF(OR(AB106&lt;&gt;7,AD106&lt;&gt;3),"V列に色付け","")</f>
        <v/>
      </c>
      <c r="AW108" s="1518"/>
      <c r="AX108" s="1507"/>
      <c r="AY108" s="671"/>
      <c r="AZ108" s="1321" t="str">
        <f>IF(AM108&lt;&gt;"",IF(AN108="○","入力済","未入力"),"")</f>
        <v/>
      </c>
      <c r="BA108" s="1321"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321" t="str">
        <f>IF(OR(U108="新加算Ⅴ（７）",U108="新加算Ⅴ（９）",U108="新加算Ⅴ（10）",U108="新加算Ⅴ（12）",U108="新加算Ⅴ（13）",U108="新加算Ⅴ（14）"),IF(OR(AP108="○",AP108="令和６年度中に満たす"),"入力済","未入力"),"")</f>
        <v/>
      </c>
      <c r="BC108" s="1321" t="str">
        <f>IF(OR(U108="新加算Ⅰ",U108="新加算Ⅱ",U108="新加算Ⅲ",U108="新加算Ⅴ（１）",U108="新加算Ⅴ（３）",U108="新加算Ⅴ（８）"),IF(OR(AQ108="○",AQ108="令和６年度中に満たす"),"入力済","未入力"),"")</f>
        <v/>
      </c>
      <c r="BD108" s="1588"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493" t="str">
        <f>IF(OR(U108="新加算Ⅰ",U108="新加算Ⅴ（１）",U108="新加算Ⅴ（２）",U108="新加算Ⅴ（５）",U108="新加算Ⅴ（７）",U108="新加算Ⅴ（10）"),IF(AS108="","未入力","入力済"),"")</f>
        <v/>
      </c>
      <c r="BF108" s="1493" t="str">
        <f>G106</f>
        <v/>
      </c>
      <c r="BG108" s="1493"/>
      <c r="BH108" s="1493"/>
    </row>
    <row r="109" spans="1:60" ht="30" customHeight="1" thickBot="1">
      <c r="A109" s="1227"/>
      <c r="B109" s="1376"/>
      <c r="C109" s="1377"/>
      <c r="D109" s="1377"/>
      <c r="E109" s="1377"/>
      <c r="F109" s="1378"/>
      <c r="G109" s="1267"/>
      <c r="H109" s="1267"/>
      <c r="I109" s="1267"/>
      <c r="J109" s="1373"/>
      <c r="K109" s="1267"/>
      <c r="L109" s="1452"/>
      <c r="M109" s="1449"/>
      <c r="N109" s="650" t="str">
        <f>IF('別紙様式2-2（４・５月分）'!Q85="","",'別紙様式2-2（４・５月分）'!Q85)</f>
        <v/>
      </c>
      <c r="O109" s="1369"/>
      <c r="P109" s="1391"/>
      <c r="Q109" s="1505"/>
      <c r="R109" s="1389"/>
      <c r="S109" s="1395"/>
      <c r="T109" s="1460"/>
      <c r="U109" s="1570"/>
      <c r="V109" s="1464"/>
      <c r="W109" s="1466"/>
      <c r="X109" s="1565"/>
      <c r="Y109" s="1408"/>
      <c r="Z109" s="1565"/>
      <c r="AA109" s="1408"/>
      <c r="AB109" s="1565"/>
      <c r="AC109" s="1408"/>
      <c r="AD109" s="1565"/>
      <c r="AE109" s="1408"/>
      <c r="AF109" s="1408"/>
      <c r="AG109" s="1408"/>
      <c r="AH109" s="1410"/>
      <c r="AI109" s="1412"/>
      <c r="AJ109" s="1578"/>
      <c r="AK109" s="1495"/>
      <c r="AL109" s="1580"/>
      <c r="AM109" s="1586"/>
      <c r="AN109" s="1549"/>
      <c r="AO109" s="1555"/>
      <c r="AP109" s="1553"/>
      <c r="AQ109" s="1555"/>
      <c r="AR109" s="1557"/>
      <c r="AS109" s="1559"/>
      <c r="AT109" s="672" t="str">
        <f t="shared" ref="AT109" si="111">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42"/>
      <c r="AV109" s="1493"/>
      <c r="AW109" s="652" t="str">
        <f>IF('別紙様式2-2（４・５月分）'!O85="","",'別紙様式2-2（４・５月分）'!O85)</f>
        <v/>
      </c>
      <c r="AX109" s="1507"/>
      <c r="AY109" s="673"/>
      <c r="AZ109" s="1321" t="str">
        <f>IF(OR(U109="新加算Ⅰ",U109="新加算Ⅱ",U109="新加算Ⅲ",U109="新加算Ⅳ",U109="新加算Ⅴ（１）",U109="新加算Ⅴ（２）",U109="新加算Ⅴ（３）",U109="新加算ⅠⅤ（４）",U109="新加算Ⅴ（５）",U109="新加算Ⅴ（６）",U109="新加算Ⅴ（８）",U109="新加算Ⅴ（11）"),IF(AJ109="○","","未入力"),"")</f>
        <v/>
      </c>
      <c r="BA109" s="1321" t="str">
        <f>IF(OR(V109="新加算Ⅰ",V109="新加算Ⅱ",V109="新加算Ⅲ",V109="新加算Ⅳ",V109="新加算Ⅴ（１）",V109="新加算Ⅴ（２）",V109="新加算Ⅴ（３）",V109="新加算ⅠⅤ（４）",V109="新加算Ⅴ（５）",V109="新加算Ⅴ（６）",V109="新加算Ⅴ（８）",V109="新加算Ⅴ（11）"),IF(AK109="○","","未入力"),"")</f>
        <v/>
      </c>
      <c r="BB109" s="1321" t="str">
        <f>IF(OR(V109="新加算Ⅴ（７）",V109="新加算Ⅴ（９）",V109="新加算Ⅴ（10）",V109="新加算Ⅴ（12）",V109="新加算Ⅴ（13）",V109="新加算Ⅴ（14）"),IF(AL109="○","","未入力"),"")</f>
        <v/>
      </c>
      <c r="BC109" s="1321" t="str">
        <f>IF(OR(V109="新加算Ⅰ",V109="新加算Ⅱ",V109="新加算Ⅲ",V109="新加算Ⅴ（１）",V109="新加算Ⅴ（３）",V109="新加算Ⅴ（８）"),IF(AM109="○","","未入力"),"")</f>
        <v/>
      </c>
      <c r="BD109" s="1588"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493" t="str">
        <f>IF(AND(U109&lt;&gt;"（参考）令和７年度の移行予定",OR(V109="新加算Ⅰ",V109="新加算Ⅴ（１）",V109="新加算Ⅴ（２）",V109="新加算Ⅴ（５）",V109="新加算Ⅴ（７）",V109="新加算Ⅴ（10）")),IF(AO109="","未入力",IF(AO109="いずれも取得していない","要件を満たさない","")),"")</f>
        <v/>
      </c>
      <c r="BF109" s="1493" t="str">
        <f>G106</f>
        <v/>
      </c>
      <c r="BG109" s="1493"/>
      <c r="BH109" s="1493"/>
    </row>
    <row r="110" spans="1:60" ht="30" customHeight="1">
      <c r="A110" s="1225">
        <v>25</v>
      </c>
      <c r="B110" s="1272" t="str">
        <f>IF(基本情報入力シート!C78="","",基本情報入力シート!C78)</f>
        <v/>
      </c>
      <c r="C110" s="1261"/>
      <c r="D110" s="1261"/>
      <c r="E110" s="1261"/>
      <c r="F110" s="1262"/>
      <c r="G110" s="1266" t="str">
        <f>IF(基本情報入力シート!M78="","",基本情報入力シート!M78)</f>
        <v/>
      </c>
      <c r="H110" s="1266" t="str">
        <f>IF(基本情報入力シート!R78="","",基本情報入力シート!R78)</f>
        <v/>
      </c>
      <c r="I110" s="1266" t="str">
        <f>IF(基本情報入力シート!W78="","",基本情報入力シート!W78)</f>
        <v/>
      </c>
      <c r="J110" s="1372" t="str">
        <f>IF(基本情報入力シート!X78="","",基本情報入力シート!X78)</f>
        <v/>
      </c>
      <c r="K110" s="1266" t="str">
        <f>IF(基本情報入力シート!Y78="","",基本情報入力シート!Y78)</f>
        <v/>
      </c>
      <c r="L110" s="1451" t="str">
        <f>IF(基本情報入力シート!AB78="","",基本情報入力シート!AB78)</f>
        <v/>
      </c>
      <c r="M110" s="1453" t="str">
        <f>IF(基本情報入力シート!AC78="","",基本情報入力シート!AC78)</f>
        <v/>
      </c>
      <c r="N110" s="647" t="str">
        <f>IF('別紙様式2-2（４・５月分）'!Q86="","",'別紙様式2-2（４・５月分）'!Q86)</f>
        <v/>
      </c>
      <c r="O110" s="1366" t="str">
        <f>IF(SUM('別紙様式2-2（４・５月分）'!R86:R88)=0,"",SUM('別紙様式2-2（４・５月分）'!R86:R88))</f>
        <v/>
      </c>
      <c r="P110" s="1380" t="str">
        <f>IFERROR(VLOOKUP('別紙様式2-2（４・５月分）'!AR86,【参考】数式用!$AT$5:$AU$22,2,FALSE),"")</f>
        <v/>
      </c>
      <c r="Q110" s="1381"/>
      <c r="R110" s="1382"/>
      <c r="S110" s="1392" t="str">
        <f>IFERROR(VLOOKUP(K110,【参考】数式用!$A$5:$AB$27,MATCH(P110,【参考】数式用!$B$4:$AB$4,0)+1,0),"")</f>
        <v/>
      </c>
      <c r="T110" s="1413" t="s">
        <v>2258</v>
      </c>
      <c r="U110" s="1562" t="str">
        <f>IF('別紙様式2-3（６月以降分）'!U110="","",'別紙様式2-3（６月以降分）'!U110)</f>
        <v/>
      </c>
      <c r="V110" s="1457" t="str">
        <f>IFERROR(VLOOKUP(K110,【参考】数式用!$A$5:$AB$27,MATCH(U110,【参考】数式用!$B$4:$AB$4,0)+1,0),"")</f>
        <v/>
      </c>
      <c r="W110" s="1350" t="s">
        <v>19</v>
      </c>
      <c r="X110" s="1534">
        <f>'別紙様式2-3（６月以降分）'!X110</f>
        <v>6</v>
      </c>
      <c r="Y110" s="1354" t="s">
        <v>10</v>
      </c>
      <c r="Z110" s="1534">
        <f>'別紙様式2-3（６月以降分）'!Z110</f>
        <v>6</v>
      </c>
      <c r="AA110" s="1354" t="s">
        <v>45</v>
      </c>
      <c r="AB110" s="1534">
        <f>'別紙様式2-3（６月以降分）'!AB110</f>
        <v>7</v>
      </c>
      <c r="AC110" s="1354" t="s">
        <v>10</v>
      </c>
      <c r="AD110" s="1534">
        <f>'別紙様式2-3（６月以降分）'!AD110</f>
        <v>3</v>
      </c>
      <c r="AE110" s="1354" t="s">
        <v>2172</v>
      </c>
      <c r="AF110" s="1354" t="s">
        <v>24</v>
      </c>
      <c r="AG110" s="1354">
        <f>IF(X110&gt;=1,(AB110*12+AD110)-(X110*12+Z110)+1,"")</f>
        <v>10</v>
      </c>
      <c r="AH110" s="1360" t="s">
        <v>38</v>
      </c>
      <c r="AI110" s="1481" t="str">
        <f>'別紙様式2-3（６月以降分）'!AI110</f>
        <v/>
      </c>
      <c r="AJ110" s="1542" t="str">
        <f>'別紙様式2-3（６月以降分）'!AJ110</f>
        <v/>
      </c>
      <c r="AK110" s="1538">
        <f>'別紙様式2-3（６月以降分）'!AK110</f>
        <v>0</v>
      </c>
      <c r="AL110" s="1540" t="str">
        <f>IF('別紙様式2-3（６月以降分）'!AL110="","",'別紙様式2-3（６月以降分）'!AL110)</f>
        <v/>
      </c>
      <c r="AM110" s="1571">
        <f>'別紙様式2-3（６月以降分）'!AM110</f>
        <v>0</v>
      </c>
      <c r="AN110" s="1573" t="str">
        <f>IF('別紙様式2-3（６月以降分）'!AN110="","",'別紙様式2-3（６月以降分）'!AN110)</f>
        <v/>
      </c>
      <c r="AO110" s="1403" t="str">
        <f>IF('別紙様式2-3（６月以降分）'!AO110="","",'別紙様式2-3（６月以降分）'!AO110)</f>
        <v/>
      </c>
      <c r="AP110" s="1502" t="str">
        <f>IF('別紙様式2-3（６月以降分）'!AP110="","",'別紙様式2-3（６月以降分）'!AP110)</f>
        <v/>
      </c>
      <c r="AQ110" s="1403" t="str">
        <f>IF('別紙様式2-3（６月以降分）'!AQ110="","",'別紙様式2-3（６月以降分）'!AQ110)</f>
        <v/>
      </c>
      <c r="AR110" s="1583" t="str">
        <f>IF('別紙様式2-3（６月以降分）'!AR110="","",'別紙様式2-3（６月以降分）'!AR110)</f>
        <v/>
      </c>
      <c r="AS110" s="1536" t="str">
        <f>IF('別紙様式2-3（６月以降分）'!AS110="","",'別紙様式2-3（６月以降分）'!AS110)</f>
        <v/>
      </c>
      <c r="AT110" s="667" t="str">
        <f t="shared" ref="AT110" si="112">IF(AV112="","",IF(V112&lt;V110,"！加算の要件上は問題ありませんが、令和６年度当初の新加算の加算率と比較して、移行後の加算率が下がる計画になっています。",""))</f>
        <v/>
      </c>
      <c r="AU110" s="674"/>
      <c r="AV110" s="1233"/>
      <c r="AW110" s="652" t="str">
        <f>IF('別紙様式2-2（４・５月分）'!O86="","",'別紙様式2-2（４・５月分）'!O86)</f>
        <v/>
      </c>
      <c r="AX110" s="1507" t="str">
        <f>IF(SUM('別紙様式2-2（４・５月分）'!P86:P88)=0,"",SUM('別紙様式2-2（４・５月分）'!P86:P88))</f>
        <v/>
      </c>
      <c r="AY110" s="1590" t="str">
        <f>IFERROR(VLOOKUP(K110,【参考】数式用!$AJ$2:$AK$24,2,FALSE),"")</f>
        <v/>
      </c>
      <c r="AZ110" s="584"/>
      <c r="BE110" s="428"/>
      <c r="BF110" s="1493" t="str">
        <f>G110</f>
        <v/>
      </c>
      <c r="BG110" s="1493"/>
      <c r="BH110" s="1493"/>
    </row>
    <row r="111" spans="1:60" ht="15" customHeight="1">
      <c r="A111" s="1226"/>
      <c r="B111" s="1272"/>
      <c r="C111" s="1261"/>
      <c r="D111" s="1261"/>
      <c r="E111" s="1261"/>
      <c r="F111" s="1262"/>
      <c r="G111" s="1266"/>
      <c r="H111" s="1266"/>
      <c r="I111" s="1266"/>
      <c r="J111" s="1372"/>
      <c r="K111" s="1266"/>
      <c r="L111" s="1451"/>
      <c r="M111" s="1453"/>
      <c r="N111" s="1370" t="str">
        <f>IF('別紙様式2-2（４・５月分）'!Q87="","",'別紙様式2-2（４・５月分）'!Q87)</f>
        <v/>
      </c>
      <c r="O111" s="1367"/>
      <c r="P111" s="1383"/>
      <c r="Q111" s="1384"/>
      <c r="R111" s="1385"/>
      <c r="S111" s="1393"/>
      <c r="T111" s="1414"/>
      <c r="U111" s="1563"/>
      <c r="V111" s="1458"/>
      <c r="W111" s="1351"/>
      <c r="X111" s="1535"/>
      <c r="Y111" s="1355"/>
      <c r="Z111" s="1535"/>
      <c r="AA111" s="1355"/>
      <c r="AB111" s="1535"/>
      <c r="AC111" s="1355"/>
      <c r="AD111" s="1535"/>
      <c r="AE111" s="1355"/>
      <c r="AF111" s="1355"/>
      <c r="AG111" s="1355"/>
      <c r="AH111" s="1361"/>
      <c r="AI111" s="1482"/>
      <c r="AJ111" s="1543"/>
      <c r="AK111" s="1539"/>
      <c r="AL111" s="1541"/>
      <c r="AM111" s="1572"/>
      <c r="AN111" s="1574"/>
      <c r="AO111" s="1404"/>
      <c r="AP111" s="1533"/>
      <c r="AQ111" s="1404"/>
      <c r="AR111" s="1584"/>
      <c r="AS111" s="1537"/>
      <c r="AT111" s="1532" t="str">
        <f t="shared" ref="AT111" si="113">IF(AV112="","",IF(OR(AB112="",AB112&lt;&gt;7,AD112="",AD112&lt;&gt;3),"！算定期間の終わりが令和７年３月になっていません。年度内の廃止予定等がなければ、算定対象月を令和７年３月にしてください。",""))</f>
        <v/>
      </c>
      <c r="AU111" s="674"/>
      <c r="AV111" s="1493"/>
      <c r="AW111" s="1518" t="str">
        <f>IF('別紙様式2-2（４・５月分）'!O87="","",'別紙様式2-2（４・５月分）'!O87)</f>
        <v/>
      </c>
      <c r="AX111" s="1507"/>
      <c r="AY111" s="1589"/>
      <c r="AZ111" s="521"/>
      <c r="BE111" s="428"/>
      <c r="BF111" s="1493" t="str">
        <f>G110</f>
        <v/>
      </c>
      <c r="BG111" s="1493"/>
      <c r="BH111" s="1493"/>
    </row>
    <row r="112" spans="1:60" ht="15" customHeight="1">
      <c r="A112" s="1240"/>
      <c r="B112" s="1272"/>
      <c r="C112" s="1261"/>
      <c r="D112" s="1261"/>
      <c r="E112" s="1261"/>
      <c r="F112" s="1262"/>
      <c r="G112" s="1266"/>
      <c r="H112" s="1266"/>
      <c r="I112" s="1266"/>
      <c r="J112" s="1372"/>
      <c r="K112" s="1266"/>
      <c r="L112" s="1451"/>
      <c r="M112" s="1453"/>
      <c r="N112" s="1371"/>
      <c r="O112" s="1368"/>
      <c r="P112" s="1390" t="s">
        <v>2179</v>
      </c>
      <c r="Q112" s="1504" t="str">
        <f>IFERROR(VLOOKUP('別紙様式2-2（４・５月分）'!AR86,【参考】数式用!$AT$5:$AV$22,3,FALSE),"")</f>
        <v/>
      </c>
      <c r="R112" s="1388" t="s">
        <v>2190</v>
      </c>
      <c r="S112" s="1394" t="str">
        <f>IFERROR(VLOOKUP(K110,【参考】数式用!$A$5:$AB$27,MATCH(Q112,【参考】数式用!$B$4:$AB$4,0)+1,0),"")</f>
        <v/>
      </c>
      <c r="T112" s="1459" t="s">
        <v>2267</v>
      </c>
      <c r="U112" s="1569"/>
      <c r="V112" s="1463" t="str">
        <f>IFERROR(VLOOKUP(K110,【参考】数式用!$A$5:$AB$27,MATCH(U112,【参考】数式用!$B$4:$AB$4,0)+1,0),"")</f>
        <v/>
      </c>
      <c r="W112" s="1465" t="s">
        <v>19</v>
      </c>
      <c r="X112" s="1564"/>
      <c r="Y112" s="1407" t="s">
        <v>10</v>
      </c>
      <c r="Z112" s="1564"/>
      <c r="AA112" s="1407" t="s">
        <v>45</v>
      </c>
      <c r="AB112" s="1564"/>
      <c r="AC112" s="1407" t="s">
        <v>10</v>
      </c>
      <c r="AD112" s="1564"/>
      <c r="AE112" s="1407" t="s">
        <v>2172</v>
      </c>
      <c r="AF112" s="1407" t="s">
        <v>24</v>
      </c>
      <c r="AG112" s="1407" t="str">
        <f>IF(X112&gt;=1,(AB112*12+AD112)-(X112*12+Z112)+1,"")</f>
        <v/>
      </c>
      <c r="AH112" s="1409" t="s">
        <v>38</v>
      </c>
      <c r="AI112" s="1411" t="str">
        <f t="shared" ref="AI112" si="114">IFERROR(ROUNDDOWN(ROUND(L110*V112,0)*M110,0)*AG112,"")</f>
        <v/>
      </c>
      <c r="AJ112" s="1577" t="str">
        <f>IFERROR(ROUNDDOWN(ROUND((L110*(V112-AX110)),0)*M110,0)*AG112,"")</f>
        <v/>
      </c>
      <c r="AK112" s="1494" t="str">
        <f>IFERROR(ROUNDDOWN(ROUNDDOWN(ROUND(L110*VLOOKUP(K110,【参考】数式用!$A$5:$AB$27,MATCH("新加算Ⅳ",【参考】数式用!$B$4:$AB$4,0)+1,0),0)*M110,0)*AG112*0.5,0),"")</f>
        <v/>
      </c>
      <c r="AL112" s="1579"/>
      <c r="AM112" s="1585" t="str">
        <f>IFERROR(IF('別紙様式2-2（４・５月分）'!Q88="ベア加算","", IF(OR(U112="新加算Ⅰ",U112="新加算Ⅱ",U112="新加算Ⅲ",U112="新加算Ⅳ"),ROUNDDOWN(ROUND(L110*VLOOKUP(K110,【参考】数式用!$A$5:$I$27,MATCH("ベア加算",【参考】数式用!$B$4:$I$4,0)+1,0),0)*M110,0)*AG112,"")),"")</f>
        <v/>
      </c>
      <c r="AN112" s="1548"/>
      <c r="AO112" s="1554"/>
      <c r="AP112" s="1552"/>
      <c r="AQ112" s="1554"/>
      <c r="AR112" s="1556"/>
      <c r="AS112" s="1558"/>
      <c r="AT112" s="1532"/>
      <c r="AU112" s="542"/>
      <c r="AV112" s="1493" t="str">
        <f t="shared" ref="AV112" si="115">IF(OR(AB110&lt;&gt;7,AD110&lt;&gt;3),"V列に色付け","")</f>
        <v/>
      </c>
      <c r="AW112" s="1518"/>
      <c r="AX112" s="1507"/>
      <c r="AY112" s="671"/>
      <c r="AZ112" s="1321" t="str">
        <f>IF(AM112&lt;&gt;"",IF(AN112="○","入力済","未入力"),"")</f>
        <v/>
      </c>
      <c r="BA112" s="1321"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321" t="str">
        <f>IF(OR(U112="新加算Ⅴ（７）",U112="新加算Ⅴ（９）",U112="新加算Ⅴ（10）",U112="新加算Ⅴ（12）",U112="新加算Ⅴ（13）",U112="新加算Ⅴ（14）"),IF(OR(AP112="○",AP112="令和６年度中に満たす"),"入力済","未入力"),"")</f>
        <v/>
      </c>
      <c r="BC112" s="1321" t="str">
        <f>IF(OR(U112="新加算Ⅰ",U112="新加算Ⅱ",U112="新加算Ⅲ",U112="新加算Ⅴ（１）",U112="新加算Ⅴ（３）",U112="新加算Ⅴ（８）"),IF(OR(AQ112="○",AQ112="令和６年度中に満たす"),"入力済","未入力"),"")</f>
        <v/>
      </c>
      <c r="BD112" s="1588"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493" t="str">
        <f>IF(OR(U112="新加算Ⅰ",U112="新加算Ⅴ（１）",U112="新加算Ⅴ（２）",U112="新加算Ⅴ（５）",U112="新加算Ⅴ（７）",U112="新加算Ⅴ（10）"),IF(AS112="","未入力","入力済"),"")</f>
        <v/>
      </c>
      <c r="BF112" s="1493" t="str">
        <f>G110</f>
        <v/>
      </c>
      <c r="BG112" s="1493"/>
      <c r="BH112" s="1493"/>
    </row>
    <row r="113" spans="1:60" ht="30" customHeight="1" thickBot="1">
      <c r="A113" s="1227"/>
      <c r="B113" s="1376"/>
      <c r="C113" s="1377"/>
      <c r="D113" s="1377"/>
      <c r="E113" s="1377"/>
      <c r="F113" s="1378"/>
      <c r="G113" s="1267"/>
      <c r="H113" s="1267"/>
      <c r="I113" s="1267"/>
      <c r="J113" s="1373"/>
      <c r="K113" s="1267"/>
      <c r="L113" s="1452"/>
      <c r="M113" s="1454"/>
      <c r="N113" s="650" t="str">
        <f>IF('別紙様式2-2（４・５月分）'!Q88="","",'別紙様式2-2（４・５月分）'!Q88)</f>
        <v/>
      </c>
      <c r="O113" s="1369"/>
      <c r="P113" s="1391"/>
      <c r="Q113" s="1505"/>
      <c r="R113" s="1389"/>
      <c r="S113" s="1395"/>
      <c r="T113" s="1460"/>
      <c r="U113" s="1570"/>
      <c r="V113" s="1464"/>
      <c r="W113" s="1466"/>
      <c r="X113" s="1565"/>
      <c r="Y113" s="1408"/>
      <c r="Z113" s="1565"/>
      <c r="AA113" s="1408"/>
      <c r="AB113" s="1565"/>
      <c r="AC113" s="1408"/>
      <c r="AD113" s="1565"/>
      <c r="AE113" s="1408"/>
      <c r="AF113" s="1408"/>
      <c r="AG113" s="1408"/>
      <c r="AH113" s="1410"/>
      <c r="AI113" s="1412"/>
      <c r="AJ113" s="1578"/>
      <c r="AK113" s="1495"/>
      <c r="AL113" s="1580"/>
      <c r="AM113" s="1586"/>
      <c r="AN113" s="1549"/>
      <c r="AO113" s="1555"/>
      <c r="AP113" s="1553"/>
      <c r="AQ113" s="1555"/>
      <c r="AR113" s="1557"/>
      <c r="AS113" s="1559"/>
      <c r="AT113" s="672" t="str">
        <f t="shared" ref="AT113" si="116">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42"/>
      <c r="AV113" s="1493"/>
      <c r="AW113" s="652" t="str">
        <f>IF('別紙様式2-2（４・５月分）'!O88="","",'別紙様式2-2（４・５月分）'!O88)</f>
        <v/>
      </c>
      <c r="AX113" s="1507"/>
      <c r="AY113" s="673"/>
      <c r="AZ113" s="1321" t="str">
        <f>IF(OR(U113="新加算Ⅰ",U113="新加算Ⅱ",U113="新加算Ⅲ",U113="新加算Ⅳ",U113="新加算Ⅴ（１）",U113="新加算Ⅴ（２）",U113="新加算Ⅴ（３）",U113="新加算ⅠⅤ（４）",U113="新加算Ⅴ（５）",U113="新加算Ⅴ（６）",U113="新加算Ⅴ（８）",U113="新加算Ⅴ（11）"),IF(AJ113="○","","未入力"),"")</f>
        <v/>
      </c>
      <c r="BA113" s="1321" t="str">
        <f>IF(OR(V113="新加算Ⅰ",V113="新加算Ⅱ",V113="新加算Ⅲ",V113="新加算Ⅳ",V113="新加算Ⅴ（１）",V113="新加算Ⅴ（２）",V113="新加算Ⅴ（３）",V113="新加算ⅠⅤ（４）",V113="新加算Ⅴ（５）",V113="新加算Ⅴ（６）",V113="新加算Ⅴ（８）",V113="新加算Ⅴ（11）"),IF(AK113="○","","未入力"),"")</f>
        <v/>
      </c>
      <c r="BB113" s="1321" t="str">
        <f>IF(OR(V113="新加算Ⅴ（７）",V113="新加算Ⅴ（９）",V113="新加算Ⅴ（10）",V113="新加算Ⅴ（12）",V113="新加算Ⅴ（13）",V113="新加算Ⅴ（14）"),IF(AL113="○","","未入力"),"")</f>
        <v/>
      </c>
      <c r="BC113" s="1321" t="str">
        <f>IF(OR(V113="新加算Ⅰ",V113="新加算Ⅱ",V113="新加算Ⅲ",V113="新加算Ⅴ（１）",V113="新加算Ⅴ（３）",V113="新加算Ⅴ（８）"),IF(AM113="○","","未入力"),"")</f>
        <v/>
      </c>
      <c r="BD113" s="1588"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493" t="str">
        <f>IF(AND(U113&lt;&gt;"（参考）令和７年度の移行予定",OR(V113="新加算Ⅰ",V113="新加算Ⅴ（１）",V113="新加算Ⅴ（２）",V113="新加算Ⅴ（５）",V113="新加算Ⅴ（７）",V113="新加算Ⅴ（10）")),IF(AO113="","未入力",IF(AO113="いずれも取得していない","要件を満たさない","")),"")</f>
        <v/>
      </c>
      <c r="BF113" s="1493" t="str">
        <f>G110</f>
        <v/>
      </c>
      <c r="BG113" s="1493"/>
      <c r="BH113" s="1493"/>
    </row>
    <row r="114" spans="1:60" ht="30" customHeight="1">
      <c r="A114" s="1241">
        <v>26</v>
      </c>
      <c r="B114" s="1271" t="str">
        <f>IF(基本情報入力シート!C79="","",基本情報入力シート!C79)</f>
        <v/>
      </c>
      <c r="C114" s="1259"/>
      <c r="D114" s="1259"/>
      <c r="E114" s="1259"/>
      <c r="F114" s="1260"/>
      <c r="G114" s="1265" t="str">
        <f>IF(基本情報入力シート!M79="","",基本情報入力シート!M79)</f>
        <v/>
      </c>
      <c r="H114" s="1265" t="str">
        <f>IF(基本情報入力シート!R79="","",基本情報入力シート!R79)</f>
        <v/>
      </c>
      <c r="I114" s="1265" t="str">
        <f>IF(基本情報入力シート!W79="","",基本情報入力シート!W79)</f>
        <v/>
      </c>
      <c r="J114" s="1379" t="str">
        <f>IF(基本情報入力シート!X79="","",基本情報入力シート!X79)</f>
        <v/>
      </c>
      <c r="K114" s="1265" t="str">
        <f>IF(基本情報入力シート!Y79="","",基本情報入力シート!Y79)</f>
        <v/>
      </c>
      <c r="L114" s="1450" t="str">
        <f>IF(基本情報入力シート!AB79="","",基本情報入力シート!AB79)</f>
        <v/>
      </c>
      <c r="M114" s="1447" t="str">
        <f>IF(基本情報入力シート!AC79="","",基本情報入力シート!AC79)</f>
        <v/>
      </c>
      <c r="N114" s="647" t="str">
        <f>IF('別紙様式2-2（４・５月分）'!Q89="","",'別紙様式2-2（４・５月分）'!Q89)</f>
        <v/>
      </c>
      <c r="O114" s="1366" t="str">
        <f>IF(SUM('別紙様式2-2（４・５月分）'!R89:R91)=0,"",SUM('別紙様式2-2（４・５月分）'!R89:R91))</f>
        <v/>
      </c>
      <c r="P114" s="1380" t="str">
        <f>IFERROR(VLOOKUP('別紙様式2-2（４・５月分）'!AR89,【参考】数式用!$AT$5:$AU$22,2,FALSE),"")</f>
        <v/>
      </c>
      <c r="Q114" s="1381"/>
      <c r="R114" s="1382"/>
      <c r="S114" s="1392" t="str">
        <f>IFERROR(VLOOKUP(K114,【参考】数式用!$A$5:$AB$27,MATCH(P114,【参考】数式用!$B$4:$AB$4,0)+1,0),"")</f>
        <v/>
      </c>
      <c r="T114" s="1413" t="s">
        <v>2258</v>
      </c>
      <c r="U114" s="1562" t="str">
        <f>IF('別紙様式2-3（６月以降分）'!U114="","",'別紙様式2-3（６月以降分）'!U114)</f>
        <v/>
      </c>
      <c r="V114" s="1457" t="str">
        <f>IFERROR(VLOOKUP(K114,【参考】数式用!$A$5:$AB$27,MATCH(U114,【参考】数式用!$B$4:$AB$4,0)+1,0),"")</f>
        <v/>
      </c>
      <c r="W114" s="1350" t="s">
        <v>19</v>
      </c>
      <c r="X114" s="1534">
        <f>'別紙様式2-3（６月以降分）'!X114</f>
        <v>6</v>
      </c>
      <c r="Y114" s="1354" t="s">
        <v>10</v>
      </c>
      <c r="Z114" s="1534">
        <f>'別紙様式2-3（６月以降分）'!Z114</f>
        <v>6</v>
      </c>
      <c r="AA114" s="1354" t="s">
        <v>45</v>
      </c>
      <c r="AB114" s="1534">
        <f>'別紙様式2-3（６月以降分）'!AB114</f>
        <v>7</v>
      </c>
      <c r="AC114" s="1354" t="s">
        <v>10</v>
      </c>
      <c r="AD114" s="1534">
        <f>'別紙様式2-3（６月以降分）'!AD114</f>
        <v>3</v>
      </c>
      <c r="AE114" s="1354" t="s">
        <v>2172</v>
      </c>
      <c r="AF114" s="1354" t="s">
        <v>24</v>
      </c>
      <c r="AG114" s="1354">
        <f>IF(X114&gt;=1,(AB114*12+AD114)-(X114*12+Z114)+1,"")</f>
        <v>10</v>
      </c>
      <c r="AH114" s="1360" t="s">
        <v>38</v>
      </c>
      <c r="AI114" s="1481" t="str">
        <f>'別紙様式2-3（６月以降分）'!AI114</f>
        <v/>
      </c>
      <c r="AJ114" s="1542" t="str">
        <f>'別紙様式2-3（６月以降分）'!AJ114</f>
        <v/>
      </c>
      <c r="AK114" s="1538">
        <f>'別紙様式2-3（６月以降分）'!AK114</f>
        <v>0</v>
      </c>
      <c r="AL114" s="1540" t="str">
        <f>IF('別紙様式2-3（６月以降分）'!AL114="","",'別紙様式2-3（６月以降分）'!AL114)</f>
        <v/>
      </c>
      <c r="AM114" s="1571">
        <f>'別紙様式2-3（６月以降分）'!AM114</f>
        <v>0</v>
      </c>
      <c r="AN114" s="1573" t="str">
        <f>IF('別紙様式2-3（６月以降分）'!AN114="","",'別紙様式2-3（６月以降分）'!AN114)</f>
        <v/>
      </c>
      <c r="AO114" s="1403" t="str">
        <f>IF('別紙様式2-3（６月以降分）'!AO114="","",'別紙様式2-3（６月以降分）'!AO114)</f>
        <v/>
      </c>
      <c r="AP114" s="1502" t="str">
        <f>IF('別紙様式2-3（６月以降分）'!AP114="","",'別紙様式2-3（６月以降分）'!AP114)</f>
        <v/>
      </c>
      <c r="AQ114" s="1403" t="str">
        <f>IF('別紙様式2-3（６月以降分）'!AQ114="","",'別紙様式2-3（６月以降分）'!AQ114)</f>
        <v/>
      </c>
      <c r="AR114" s="1583" t="str">
        <f>IF('別紙様式2-3（６月以降分）'!AR114="","",'別紙様式2-3（６月以降分）'!AR114)</f>
        <v/>
      </c>
      <c r="AS114" s="1536" t="str">
        <f>IF('別紙様式2-3（６月以降分）'!AS114="","",'別紙様式2-3（６月以降分）'!AS114)</f>
        <v/>
      </c>
      <c r="AT114" s="667" t="str">
        <f t="shared" ref="AT114" si="117">IF(AV116="","",IF(V116&lt;V114,"！加算の要件上は問題ありませんが、令和６年度当初の新加算の加算率と比較して、移行後の加算率が下がる計画になっています。",""))</f>
        <v/>
      </c>
      <c r="AU114" s="674"/>
      <c r="AV114" s="1233"/>
      <c r="AW114" s="652" t="str">
        <f>IF('別紙様式2-2（４・５月分）'!O89="","",'別紙様式2-2（４・５月分）'!O89)</f>
        <v/>
      </c>
      <c r="AX114" s="1507" t="str">
        <f>IF(SUM('別紙様式2-2（４・５月分）'!P89:P91)=0,"",SUM('別紙様式2-2（４・５月分）'!P89:P91))</f>
        <v/>
      </c>
      <c r="AY114" s="1589" t="str">
        <f>IFERROR(VLOOKUP(K114,【参考】数式用!$AJ$2:$AK$24,2,FALSE),"")</f>
        <v/>
      </c>
      <c r="AZ114" s="584"/>
      <c r="BE114" s="428"/>
      <c r="BF114" s="1493" t="str">
        <f>G114</f>
        <v/>
      </c>
      <c r="BG114" s="1493"/>
      <c r="BH114" s="1493"/>
    </row>
    <row r="115" spans="1:60" ht="15" customHeight="1">
      <c r="A115" s="1226"/>
      <c r="B115" s="1272"/>
      <c r="C115" s="1261"/>
      <c r="D115" s="1261"/>
      <c r="E115" s="1261"/>
      <c r="F115" s="1262"/>
      <c r="G115" s="1266"/>
      <c r="H115" s="1266"/>
      <c r="I115" s="1266"/>
      <c r="J115" s="1372"/>
      <c r="K115" s="1266"/>
      <c r="L115" s="1451"/>
      <c r="M115" s="1448"/>
      <c r="N115" s="1370" t="str">
        <f>IF('別紙様式2-2（４・５月分）'!Q90="","",'別紙様式2-2（４・５月分）'!Q90)</f>
        <v/>
      </c>
      <c r="O115" s="1367"/>
      <c r="P115" s="1383"/>
      <c r="Q115" s="1384"/>
      <c r="R115" s="1385"/>
      <c r="S115" s="1393"/>
      <c r="T115" s="1414"/>
      <c r="U115" s="1563"/>
      <c r="V115" s="1458"/>
      <c r="W115" s="1351"/>
      <c r="X115" s="1535"/>
      <c r="Y115" s="1355"/>
      <c r="Z115" s="1535"/>
      <c r="AA115" s="1355"/>
      <c r="AB115" s="1535"/>
      <c r="AC115" s="1355"/>
      <c r="AD115" s="1535"/>
      <c r="AE115" s="1355"/>
      <c r="AF115" s="1355"/>
      <c r="AG115" s="1355"/>
      <c r="AH115" s="1361"/>
      <c r="AI115" s="1482"/>
      <c r="AJ115" s="1543"/>
      <c r="AK115" s="1539"/>
      <c r="AL115" s="1541"/>
      <c r="AM115" s="1572"/>
      <c r="AN115" s="1574"/>
      <c r="AO115" s="1404"/>
      <c r="AP115" s="1533"/>
      <c r="AQ115" s="1404"/>
      <c r="AR115" s="1584"/>
      <c r="AS115" s="1537"/>
      <c r="AT115" s="1532" t="str">
        <f t="shared" ref="AT115" si="118">IF(AV116="","",IF(OR(AB116="",AB116&lt;&gt;7,AD116="",AD116&lt;&gt;3),"！算定期間の終わりが令和７年３月になっていません。年度内の廃止予定等がなければ、算定対象月を令和７年３月にしてください。",""))</f>
        <v/>
      </c>
      <c r="AU115" s="674"/>
      <c r="AV115" s="1493"/>
      <c r="AW115" s="1518" t="str">
        <f>IF('別紙様式2-2（４・５月分）'!O90="","",'別紙様式2-2（４・５月分）'!O90)</f>
        <v/>
      </c>
      <c r="AX115" s="1507"/>
      <c r="AY115" s="1589"/>
      <c r="AZ115" s="521"/>
      <c r="BE115" s="428"/>
      <c r="BF115" s="1493" t="str">
        <f>G114</f>
        <v/>
      </c>
      <c r="BG115" s="1493"/>
      <c r="BH115" s="1493"/>
    </row>
    <row r="116" spans="1:60" ht="15" customHeight="1">
      <c r="A116" s="1240"/>
      <c r="B116" s="1272"/>
      <c r="C116" s="1261"/>
      <c r="D116" s="1261"/>
      <c r="E116" s="1261"/>
      <c r="F116" s="1262"/>
      <c r="G116" s="1266"/>
      <c r="H116" s="1266"/>
      <c r="I116" s="1266"/>
      <c r="J116" s="1372"/>
      <c r="K116" s="1266"/>
      <c r="L116" s="1451"/>
      <c r="M116" s="1448"/>
      <c r="N116" s="1371"/>
      <c r="O116" s="1368"/>
      <c r="P116" s="1390" t="s">
        <v>2179</v>
      </c>
      <c r="Q116" s="1504" t="str">
        <f>IFERROR(VLOOKUP('別紙様式2-2（４・５月分）'!AR89,【参考】数式用!$AT$5:$AV$22,3,FALSE),"")</f>
        <v/>
      </c>
      <c r="R116" s="1388" t="s">
        <v>2190</v>
      </c>
      <c r="S116" s="1396" t="str">
        <f>IFERROR(VLOOKUP(K114,【参考】数式用!$A$5:$AB$27,MATCH(Q116,【参考】数式用!$B$4:$AB$4,0)+1,0),"")</f>
        <v/>
      </c>
      <c r="T116" s="1459" t="s">
        <v>2267</v>
      </c>
      <c r="U116" s="1569"/>
      <c r="V116" s="1463" t="str">
        <f>IFERROR(VLOOKUP(K114,【参考】数式用!$A$5:$AB$27,MATCH(U116,【参考】数式用!$B$4:$AB$4,0)+1,0),"")</f>
        <v/>
      </c>
      <c r="W116" s="1465" t="s">
        <v>19</v>
      </c>
      <c r="X116" s="1564"/>
      <c r="Y116" s="1407" t="s">
        <v>10</v>
      </c>
      <c r="Z116" s="1564"/>
      <c r="AA116" s="1407" t="s">
        <v>45</v>
      </c>
      <c r="AB116" s="1564"/>
      <c r="AC116" s="1407" t="s">
        <v>10</v>
      </c>
      <c r="AD116" s="1564"/>
      <c r="AE116" s="1407" t="s">
        <v>2172</v>
      </c>
      <c r="AF116" s="1407" t="s">
        <v>24</v>
      </c>
      <c r="AG116" s="1407" t="str">
        <f>IF(X116&gt;=1,(AB116*12+AD116)-(X116*12+Z116)+1,"")</f>
        <v/>
      </c>
      <c r="AH116" s="1409" t="s">
        <v>38</v>
      </c>
      <c r="AI116" s="1411" t="str">
        <f t="shared" ref="AI116" si="119">IFERROR(ROUNDDOWN(ROUND(L114*V116,0)*M114,0)*AG116,"")</f>
        <v/>
      </c>
      <c r="AJ116" s="1577" t="str">
        <f>IFERROR(ROUNDDOWN(ROUND((L114*(V116-AX114)),0)*M114,0)*AG116,"")</f>
        <v/>
      </c>
      <c r="AK116" s="1494" t="str">
        <f>IFERROR(ROUNDDOWN(ROUNDDOWN(ROUND(L114*VLOOKUP(K114,【参考】数式用!$A$5:$AB$27,MATCH("新加算Ⅳ",【参考】数式用!$B$4:$AB$4,0)+1,0),0)*M114,0)*AG116*0.5,0),"")</f>
        <v/>
      </c>
      <c r="AL116" s="1579"/>
      <c r="AM116" s="1585" t="str">
        <f>IFERROR(IF('別紙様式2-2（４・５月分）'!Q91="ベア加算","", IF(OR(U116="新加算Ⅰ",U116="新加算Ⅱ",U116="新加算Ⅲ",U116="新加算Ⅳ"),ROUNDDOWN(ROUND(L114*VLOOKUP(K114,【参考】数式用!$A$5:$I$27,MATCH("ベア加算",【参考】数式用!$B$4:$I$4,0)+1,0),0)*M114,0)*AG116,"")),"")</f>
        <v/>
      </c>
      <c r="AN116" s="1548"/>
      <c r="AO116" s="1554"/>
      <c r="AP116" s="1552"/>
      <c r="AQ116" s="1554"/>
      <c r="AR116" s="1556"/>
      <c r="AS116" s="1558"/>
      <c r="AT116" s="1532"/>
      <c r="AU116" s="542"/>
      <c r="AV116" s="1493" t="str">
        <f t="shared" ref="AV116" si="120">IF(OR(AB114&lt;&gt;7,AD114&lt;&gt;3),"V列に色付け","")</f>
        <v/>
      </c>
      <c r="AW116" s="1518"/>
      <c r="AX116" s="1507"/>
      <c r="AY116" s="671"/>
      <c r="AZ116" s="1321" t="str">
        <f>IF(AM116&lt;&gt;"",IF(AN116="○","入力済","未入力"),"")</f>
        <v/>
      </c>
      <c r="BA116" s="1321"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321" t="str">
        <f>IF(OR(U116="新加算Ⅴ（７）",U116="新加算Ⅴ（９）",U116="新加算Ⅴ（10）",U116="新加算Ⅴ（12）",U116="新加算Ⅴ（13）",U116="新加算Ⅴ（14）"),IF(OR(AP116="○",AP116="令和６年度中に満たす"),"入力済","未入力"),"")</f>
        <v/>
      </c>
      <c r="BC116" s="1321" t="str">
        <f>IF(OR(U116="新加算Ⅰ",U116="新加算Ⅱ",U116="新加算Ⅲ",U116="新加算Ⅴ（１）",U116="新加算Ⅴ（３）",U116="新加算Ⅴ（８）"),IF(OR(AQ116="○",AQ116="令和６年度中に満たす"),"入力済","未入力"),"")</f>
        <v/>
      </c>
      <c r="BD116" s="1588"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493" t="str">
        <f>IF(OR(U116="新加算Ⅰ",U116="新加算Ⅴ（１）",U116="新加算Ⅴ（２）",U116="新加算Ⅴ（５）",U116="新加算Ⅴ（７）",U116="新加算Ⅴ（10）"),IF(AS116="","未入力","入力済"),"")</f>
        <v/>
      </c>
      <c r="BF116" s="1493" t="str">
        <f>G114</f>
        <v/>
      </c>
      <c r="BG116" s="1493"/>
      <c r="BH116" s="1493"/>
    </row>
    <row r="117" spans="1:60" ht="30" customHeight="1" thickBot="1">
      <c r="A117" s="1227"/>
      <c r="B117" s="1376"/>
      <c r="C117" s="1377"/>
      <c r="D117" s="1377"/>
      <c r="E117" s="1377"/>
      <c r="F117" s="1378"/>
      <c r="G117" s="1267"/>
      <c r="H117" s="1267"/>
      <c r="I117" s="1267"/>
      <c r="J117" s="1373"/>
      <c r="K117" s="1267"/>
      <c r="L117" s="1452"/>
      <c r="M117" s="1449"/>
      <c r="N117" s="650" t="str">
        <f>IF('別紙様式2-2（４・５月分）'!Q91="","",'別紙様式2-2（４・５月分）'!Q91)</f>
        <v/>
      </c>
      <c r="O117" s="1369"/>
      <c r="P117" s="1391"/>
      <c r="Q117" s="1505"/>
      <c r="R117" s="1389"/>
      <c r="S117" s="1395"/>
      <c r="T117" s="1460"/>
      <c r="U117" s="1570"/>
      <c r="V117" s="1464"/>
      <c r="W117" s="1466"/>
      <c r="X117" s="1565"/>
      <c r="Y117" s="1408"/>
      <c r="Z117" s="1565"/>
      <c r="AA117" s="1408"/>
      <c r="AB117" s="1565"/>
      <c r="AC117" s="1408"/>
      <c r="AD117" s="1565"/>
      <c r="AE117" s="1408"/>
      <c r="AF117" s="1408"/>
      <c r="AG117" s="1408"/>
      <c r="AH117" s="1410"/>
      <c r="AI117" s="1412"/>
      <c r="AJ117" s="1578"/>
      <c r="AK117" s="1495"/>
      <c r="AL117" s="1580"/>
      <c r="AM117" s="1586"/>
      <c r="AN117" s="1549"/>
      <c r="AO117" s="1555"/>
      <c r="AP117" s="1553"/>
      <c r="AQ117" s="1555"/>
      <c r="AR117" s="1557"/>
      <c r="AS117" s="1559"/>
      <c r="AT117" s="672" t="str">
        <f t="shared" ref="AT117" si="121">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42"/>
      <c r="AV117" s="1493"/>
      <c r="AW117" s="652" t="str">
        <f>IF('別紙様式2-2（４・５月分）'!O91="","",'別紙様式2-2（４・５月分）'!O91)</f>
        <v/>
      </c>
      <c r="AX117" s="1507"/>
      <c r="AY117" s="673"/>
      <c r="AZ117" s="1321" t="str">
        <f>IF(OR(U117="新加算Ⅰ",U117="新加算Ⅱ",U117="新加算Ⅲ",U117="新加算Ⅳ",U117="新加算Ⅴ（１）",U117="新加算Ⅴ（２）",U117="新加算Ⅴ（３）",U117="新加算ⅠⅤ（４）",U117="新加算Ⅴ（５）",U117="新加算Ⅴ（６）",U117="新加算Ⅴ（８）",U117="新加算Ⅴ（11）"),IF(AJ117="○","","未入力"),"")</f>
        <v/>
      </c>
      <c r="BA117" s="1321" t="str">
        <f>IF(OR(V117="新加算Ⅰ",V117="新加算Ⅱ",V117="新加算Ⅲ",V117="新加算Ⅳ",V117="新加算Ⅴ（１）",V117="新加算Ⅴ（２）",V117="新加算Ⅴ（３）",V117="新加算ⅠⅤ（４）",V117="新加算Ⅴ（５）",V117="新加算Ⅴ（６）",V117="新加算Ⅴ（８）",V117="新加算Ⅴ（11）"),IF(AK117="○","","未入力"),"")</f>
        <v/>
      </c>
      <c r="BB117" s="1321" t="str">
        <f>IF(OR(V117="新加算Ⅴ（７）",V117="新加算Ⅴ（９）",V117="新加算Ⅴ（10）",V117="新加算Ⅴ（12）",V117="新加算Ⅴ（13）",V117="新加算Ⅴ（14）"),IF(AL117="○","","未入力"),"")</f>
        <v/>
      </c>
      <c r="BC117" s="1321" t="str">
        <f>IF(OR(V117="新加算Ⅰ",V117="新加算Ⅱ",V117="新加算Ⅲ",V117="新加算Ⅴ（１）",V117="新加算Ⅴ（３）",V117="新加算Ⅴ（８）"),IF(AM117="○","","未入力"),"")</f>
        <v/>
      </c>
      <c r="BD117" s="1588"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493" t="str">
        <f>IF(AND(U117&lt;&gt;"（参考）令和７年度の移行予定",OR(V117="新加算Ⅰ",V117="新加算Ⅴ（１）",V117="新加算Ⅴ（２）",V117="新加算Ⅴ（５）",V117="新加算Ⅴ（７）",V117="新加算Ⅴ（10）")),IF(AO117="","未入力",IF(AO117="いずれも取得していない","要件を満たさない","")),"")</f>
        <v/>
      </c>
      <c r="BF117" s="1493" t="str">
        <f>G114</f>
        <v/>
      </c>
      <c r="BG117" s="1493"/>
      <c r="BH117" s="1493"/>
    </row>
    <row r="118" spans="1:60" ht="30" customHeight="1">
      <c r="A118" s="1225">
        <v>27</v>
      </c>
      <c r="B118" s="1272" t="str">
        <f>IF(基本情報入力シート!C80="","",基本情報入力シート!C80)</f>
        <v/>
      </c>
      <c r="C118" s="1261"/>
      <c r="D118" s="1261"/>
      <c r="E118" s="1261"/>
      <c r="F118" s="1262"/>
      <c r="G118" s="1266" t="str">
        <f>IF(基本情報入力シート!M80="","",基本情報入力シート!M80)</f>
        <v/>
      </c>
      <c r="H118" s="1266" t="str">
        <f>IF(基本情報入力シート!R80="","",基本情報入力シート!R80)</f>
        <v/>
      </c>
      <c r="I118" s="1266" t="str">
        <f>IF(基本情報入力シート!W80="","",基本情報入力シート!W80)</f>
        <v/>
      </c>
      <c r="J118" s="1372" t="str">
        <f>IF(基本情報入力シート!X80="","",基本情報入力シート!X80)</f>
        <v/>
      </c>
      <c r="K118" s="1266" t="str">
        <f>IF(基本情報入力シート!Y80="","",基本情報入力シート!Y80)</f>
        <v/>
      </c>
      <c r="L118" s="1451" t="str">
        <f>IF(基本情報入力シート!AB80="","",基本情報入力シート!AB80)</f>
        <v/>
      </c>
      <c r="M118" s="1453" t="str">
        <f>IF(基本情報入力シート!AC80="","",基本情報入力シート!AC80)</f>
        <v/>
      </c>
      <c r="N118" s="647" t="str">
        <f>IF('別紙様式2-2（４・５月分）'!Q92="","",'別紙様式2-2（４・５月分）'!Q92)</f>
        <v/>
      </c>
      <c r="O118" s="1366" t="str">
        <f>IF(SUM('別紙様式2-2（４・５月分）'!R92:R94)=0,"",SUM('別紙様式2-2（４・５月分）'!R92:R94))</f>
        <v/>
      </c>
      <c r="P118" s="1380" t="str">
        <f>IFERROR(VLOOKUP('別紙様式2-2（４・５月分）'!AR92,【参考】数式用!$AT$5:$AU$22,2,FALSE),"")</f>
        <v/>
      </c>
      <c r="Q118" s="1381"/>
      <c r="R118" s="1382"/>
      <c r="S118" s="1392" t="str">
        <f>IFERROR(VLOOKUP(K118,【参考】数式用!$A$5:$AB$27,MATCH(P118,【参考】数式用!$B$4:$AB$4,0)+1,0),"")</f>
        <v/>
      </c>
      <c r="T118" s="1413" t="s">
        <v>2258</v>
      </c>
      <c r="U118" s="1562" t="str">
        <f>IF('別紙様式2-3（６月以降分）'!U118="","",'別紙様式2-3（６月以降分）'!U118)</f>
        <v/>
      </c>
      <c r="V118" s="1457" t="str">
        <f>IFERROR(VLOOKUP(K118,【参考】数式用!$A$5:$AB$27,MATCH(U118,【参考】数式用!$B$4:$AB$4,0)+1,0),"")</f>
        <v/>
      </c>
      <c r="W118" s="1350" t="s">
        <v>19</v>
      </c>
      <c r="X118" s="1534">
        <f>'別紙様式2-3（６月以降分）'!X118</f>
        <v>6</v>
      </c>
      <c r="Y118" s="1354" t="s">
        <v>10</v>
      </c>
      <c r="Z118" s="1534">
        <f>'別紙様式2-3（６月以降分）'!Z118</f>
        <v>6</v>
      </c>
      <c r="AA118" s="1354" t="s">
        <v>45</v>
      </c>
      <c r="AB118" s="1534">
        <f>'別紙様式2-3（６月以降分）'!AB118</f>
        <v>7</v>
      </c>
      <c r="AC118" s="1354" t="s">
        <v>10</v>
      </c>
      <c r="AD118" s="1534">
        <f>'別紙様式2-3（６月以降分）'!AD118</f>
        <v>3</v>
      </c>
      <c r="AE118" s="1354" t="s">
        <v>2172</v>
      </c>
      <c r="AF118" s="1354" t="s">
        <v>24</v>
      </c>
      <c r="AG118" s="1354">
        <f>IF(X118&gt;=1,(AB118*12+AD118)-(X118*12+Z118)+1,"")</f>
        <v>10</v>
      </c>
      <c r="AH118" s="1360" t="s">
        <v>38</v>
      </c>
      <c r="AI118" s="1481" t="str">
        <f>'別紙様式2-3（６月以降分）'!AI118</f>
        <v/>
      </c>
      <c r="AJ118" s="1542" t="str">
        <f>'別紙様式2-3（６月以降分）'!AJ118</f>
        <v/>
      </c>
      <c r="AK118" s="1538">
        <f>'別紙様式2-3（６月以降分）'!AK118</f>
        <v>0</v>
      </c>
      <c r="AL118" s="1540" t="str">
        <f>IF('別紙様式2-3（６月以降分）'!AL118="","",'別紙様式2-3（６月以降分）'!AL118)</f>
        <v/>
      </c>
      <c r="AM118" s="1571">
        <f>'別紙様式2-3（６月以降分）'!AM118</f>
        <v>0</v>
      </c>
      <c r="AN118" s="1573" t="str">
        <f>IF('別紙様式2-3（６月以降分）'!AN118="","",'別紙様式2-3（６月以降分）'!AN118)</f>
        <v/>
      </c>
      <c r="AO118" s="1403" t="str">
        <f>IF('別紙様式2-3（６月以降分）'!AO118="","",'別紙様式2-3（６月以降分）'!AO118)</f>
        <v/>
      </c>
      <c r="AP118" s="1502" t="str">
        <f>IF('別紙様式2-3（６月以降分）'!AP118="","",'別紙様式2-3（６月以降分）'!AP118)</f>
        <v/>
      </c>
      <c r="AQ118" s="1403" t="str">
        <f>IF('別紙様式2-3（６月以降分）'!AQ118="","",'別紙様式2-3（６月以降分）'!AQ118)</f>
        <v/>
      </c>
      <c r="AR118" s="1583" t="str">
        <f>IF('別紙様式2-3（６月以降分）'!AR118="","",'別紙様式2-3（６月以降分）'!AR118)</f>
        <v/>
      </c>
      <c r="AS118" s="1536" t="str">
        <f>IF('別紙様式2-3（６月以降分）'!AS118="","",'別紙様式2-3（６月以降分）'!AS118)</f>
        <v/>
      </c>
      <c r="AT118" s="667" t="str">
        <f t="shared" ref="AT118" si="122">IF(AV120="","",IF(V120&lt;V118,"！加算の要件上は問題ありませんが、令和６年度当初の新加算の加算率と比較して、移行後の加算率が下がる計画になっています。",""))</f>
        <v/>
      </c>
      <c r="AU118" s="674"/>
      <c r="AV118" s="1233"/>
      <c r="AW118" s="652" t="str">
        <f>IF('別紙様式2-2（４・５月分）'!O92="","",'別紙様式2-2（４・５月分）'!O92)</f>
        <v/>
      </c>
      <c r="AX118" s="1507" t="str">
        <f>IF(SUM('別紙様式2-2（４・５月分）'!P92:P94)=0,"",SUM('別紙様式2-2（４・５月分）'!P92:P94))</f>
        <v/>
      </c>
      <c r="AY118" s="1590" t="str">
        <f>IFERROR(VLOOKUP(K118,【参考】数式用!$AJ$2:$AK$24,2,FALSE),"")</f>
        <v/>
      </c>
      <c r="AZ118" s="584"/>
      <c r="BE118" s="428"/>
      <c r="BF118" s="1493" t="str">
        <f>G118</f>
        <v/>
      </c>
      <c r="BG118" s="1493"/>
      <c r="BH118" s="1493"/>
    </row>
    <row r="119" spans="1:60" ht="15" customHeight="1">
      <c r="A119" s="1226"/>
      <c r="B119" s="1272"/>
      <c r="C119" s="1261"/>
      <c r="D119" s="1261"/>
      <c r="E119" s="1261"/>
      <c r="F119" s="1262"/>
      <c r="G119" s="1266"/>
      <c r="H119" s="1266"/>
      <c r="I119" s="1266"/>
      <c r="J119" s="1372"/>
      <c r="K119" s="1266"/>
      <c r="L119" s="1451"/>
      <c r="M119" s="1453"/>
      <c r="N119" s="1370" t="str">
        <f>IF('別紙様式2-2（４・５月分）'!Q93="","",'別紙様式2-2（４・５月分）'!Q93)</f>
        <v/>
      </c>
      <c r="O119" s="1367"/>
      <c r="P119" s="1383"/>
      <c r="Q119" s="1384"/>
      <c r="R119" s="1385"/>
      <c r="S119" s="1393"/>
      <c r="T119" s="1414"/>
      <c r="U119" s="1563"/>
      <c r="V119" s="1458"/>
      <c r="W119" s="1351"/>
      <c r="X119" s="1535"/>
      <c r="Y119" s="1355"/>
      <c r="Z119" s="1535"/>
      <c r="AA119" s="1355"/>
      <c r="AB119" s="1535"/>
      <c r="AC119" s="1355"/>
      <c r="AD119" s="1535"/>
      <c r="AE119" s="1355"/>
      <c r="AF119" s="1355"/>
      <c r="AG119" s="1355"/>
      <c r="AH119" s="1361"/>
      <c r="AI119" s="1482"/>
      <c r="AJ119" s="1543"/>
      <c r="AK119" s="1539"/>
      <c r="AL119" s="1541"/>
      <c r="AM119" s="1572"/>
      <c r="AN119" s="1574"/>
      <c r="AO119" s="1404"/>
      <c r="AP119" s="1533"/>
      <c r="AQ119" s="1404"/>
      <c r="AR119" s="1584"/>
      <c r="AS119" s="1537"/>
      <c r="AT119" s="1532" t="str">
        <f t="shared" ref="AT119" si="123">IF(AV120="","",IF(OR(AB120="",AB120&lt;&gt;7,AD120="",AD120&lt;&gt;3),"！算定期間の終わりが令和７年３月になっていません。年度内の廃止予定等がなければ、算定対象月を令和７年３月にしてください。",""))</f>
        <v/>
      </c>
      <c r="AU119" s="674"/>
      <c r="AV119" s="1493"/>
      <c r="AW119" s="1518" t="str">
        <f>IF('別紙様式2-2（４・５月分）'!O93="","",'別紙様式2-2（４・５月分）'!O93)</f>
        <v/>
      </c>
      <c r="AX119" s="1507"/>
      <c r="AY119" s="1589"/>
      <c r="AZ119" s="521"/>
      <c r="BE119" s="428"/>
      <c r="BF119" s="1493" t="str">
        <f>G118</f>
        <v/>
      </c>
      <c r="BG119" s="1493"/>
      <c r="BH119" s="1493"/>
    </row>
    <row r="120" spans="1:60" ht="15" customHeight="1">
      <c r="A120" s="1240"/>
      <c r="B120" s="1272"/>
      <c r="C120" s="1261"/>
      <c r="D120" s="1261"/>
      <c r="E120" s="1261"/>
      <c r="F120" s="1262"/>
      <c r="G120" s="1266"/>
      <c r="H120" s="1266"/>
      <c r="I120" s="1266"/>
      <c r="J120" s="1372"/>
      <c r="K120" s="1266"/>
      <c r="L120" s="1451"/>
      <c r="M120" s="1453"/>
      <c r="N120" s="1371"/>
      <c r="O120" s="1368"/>
      <c r="P120" s="1390" t="s">
        <v>2179</v>
      </c>
      <c r="Q120" s="1504" t="str">
        <f>IFERROR(VLOOKUP('別紙様式2-2（４・５月分）'!AR92,【参考】数式用!$AT$5:$AV$22,3,FALSE),"")</f>
        <v/>
      </c>
      <c r="R120" s="1388" t="s">
        <v>2190</v>
      </c>
      <c r="S120" s="1394" t="str">
        <f>IFERROR(VLOOKUP(K118,【参考】数式用!$A$5:$AB$27,MATCH(Q120,【参考】数式用!$B$4:$AB$4,0)+1,0),"")</f>
        <v/>
      </c>
      <c r="T120" s="1459" t="s">
        <v>2267</v>
      </c>
      <c r="U120" s="1569"/>
      <c r="V120" s="1463" t="str">
        <f>IFERROR(VLOOKUP(K118,【参考】数式用!$A$5:$AB$27,MATCH(U120,【参考】数式用!$B$4:$AB$4,0)+1,0),"")</f>
        <v/>
      </c>
      <c r="W120" s="1465" t="s">
        <v>19</v>
      </c>
      <c r="X120" s="1564"/>
      <c r="Y120" s="1407" t="s">
        <v>10</v>
      </c>
      <c r="Z120" s="1564"/>
      <c r="AA120" s="1407" t="s">
        <v>45</v>
      </c>
      <c r="AB120" s="1564"/>
      <c r="AC120" s="1407" t="s">
        <v>10</v>
      </c>
      <c r="AD120" s="1564"/>
      <c r="AE120" s="1407" t="s">
        <v>2172</v>
      </c>
      <c r="AF120" s="1407" t="s">
        <v>24</v>
      </c>
      <c r="AG120" s="1407" t="str">
        <f>IF(X120&gt;=1,(AB120*12+AD120)-(X120*12+Z120)+1,"")</f>
        <v/>
      </c>
      <c r="AH120" s="1409" t="s">
        <v>38</v>
      </c>
      <c r="AI120" s="1411" t="str">
        <f t="shared" ref="AI120" si="124">IFERROR(ROUNDDOWN(ROUND(L118*V120,0)*M118,0)*AG120,"")</f>
        <v/>
      </c>
      <c r="AJ120" s="1577" t="str">
        <f>IFERROR(ROUNDDOWN(ROUND((L118*(V120-AX118)),0)*M118,0)*AG120,"")</f>
        <v/>
      </c>
      <c r="AK120" s="1494" t="str">
        <f>IFERROR(ROUNDDOWN(ROUNDDOWN(ROUND(L118*VLOOKUP(K118,【参考】数式用!$A$5:$AB$27,MATCH("新加算Ⅳ",【参考】数式用!$B$4:$AB$4,0)+1,0),0)*M118,0)*AG120*0.5,0),"")</f>
        <v/>
      </c>
      <c r="AL120" s="1579"/>
      <c r="AM120" s="1585" t="str">
        <f>IFERROR(IF('別紙様式2-2（４・５月分）'!Q94="ベア加算","", IF(OR(U120="新加算Ⅰ",U120="新加算Ⅱ",U120="新加算Ⅲ",U120="新加算Ⅳ"),ROUNDDOWN(ROUND(L118*VLOOKUP(K118,【参考】数式用!$A$5:$I$27,MATCH("ベア加算",【参考】数式用!$B$4:$I$4,0)+1,0),0)*M118,0)*AG120,"")),"")</f>
        <v/>
      </c>
      <c r="AN120" s="1548"/>
      <c r="AO120" s="1554"/>
      <c r="AP120" s="1552"/>
      <c r="AQ120" s="1554"/>
      <c r="AR120" s="1556"/>
      <c r="AS120" s="1558"/>
      <c r="AT120" s="1532"/>
      <c r="AU120" s="542"/>
      <c r="AV120" s="1493" t="str">
        <f t="shared" ref="AV120" si="125">IF(OR(AB118&lt;&gt;7,AD118&lt;&gt;3),"V列に色付け","")</f>
        <v/>
      </c>
      <c r="AW120" s="1518"/>
      <c r="AX120" s="1507"/>
      <c r="AY120" s="671"/>
      <c r="AZ120" s="1321" t="str">
        <f>IF(AM120&lt;&gt;"",IF(AN120="○","入力済","未入力"),"")</f>
        <v/>
      </c>
      <c r="BA120" s="1321"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321" t="str">
        <f>IF(OR(U120="新加算Ⅴ（７）",U120="新加算Ⅴ（９）",U120="新加算Ⅴ（10）",U120="新加算Ⅴ（12）",U120="新加算Ⅴ（13）",U120="新加算Ⅴ（14）"),IF(OR(AP120="○",AP120="令和６年度中に満たす"),"入力済","未入力"),"")</f>
        <v/>
      </c>
      <c r="BC120" s="1321" t="str">
        <f>IF(OR(U120="新加算Ⅰ",U120="新加算Ⅱ",U120="新加算Ⅲ",U120="新加算Ⅴ（１）",U120="新加算Ⅴ（３）",U120="新加算Ⅴ（８）"),IF(OR(AQ120="○",AQ120="令和６年度中に満たす"),"入力済","未入力"),"")</f>
        <v/>
      </c>
      <c r="BD120" s="1588"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493" t="str">
        <f>IF(OR(U120="新加算Ⅰ",U120="新加算Ⅴ（１）",U120="新加算Ⅴ（２）",U120="新加算Ⅴ（５）",U120="新加算Ⅴ（７）",U120="新加算Ⅴ（10）"),IF(AS120="","未入力","入力済"),"")</f>
        <v/>
      </c>
      <c r="BF120" s="1493" t="str">
        <f>G118</f>
        <v/>
      </c>
      <c r="BG120" s="1493"/>
      <c r="BH120" s="1493"/>
    </row>
    <row r="121" spans="1:60" ht="30" customHeight="1" thickBot="1">
      <c r="A121" s="1227"/>
      <c r="B121" s="1376"/>
      <c r="C121" s="1377"/>
      <c r="D121" s="1377"/>
      <c r="E121" s="1377"/>
      <c r="F121" s="1378"/>
      <c r="G121" s="1267"/>
      <c r="H121" s="1267"/>
      <c r="I121" s="1267"/>
      <c r="J121" s="1373"/>
      <c r="K121" s="1267"/>
      <c r="L121" s="1452"/>
      <c r="M121" s="1454"/>
      <c r="N121" s="650" t="str">
        <f>IF('別紙様式2-2（４・５月分）'!Q94="","",'別紙様式2-2（４・５月分）'!Q94)</f>
        <v/>
      </c>
      <c r="O121" s="1369"/>
      <c r="P121" s="1391"/>
      <c r="Q121" s="1505"/>
      <c r="R121" s="1389"/>
      <c r="S121" s="1395"/>
      <c r="T121" s="1460"/>
      <c r="U121" s="1570"/>
      <c r="V121" s="1464"/>
      <c r="W121" s="1466"/>
      <c r="X121" s="1565"/>
      <c r="Y121" s="1408"/>
      <c r="Z121" s="1565"/>
      <c r="AA121" s="1408"/>
      <c r="AB121" s="1565"/>
      <c r="AC121" s="1408"/>
      <c r="AD121" s="1565"/>
      <c r="AE121" s="1408"/>
      <c r="AF121" s="1408"/>
      <c r="AG121" s="1408"/>
      <c r="AH121" s="1410"/>
      <c r="AI121" s="1412"/>
      <c r="AJ121" s="1578"/>
      <c r="AK121" s="1495"/>
      <c r="AL121" s="1580"/>
      <c r="AM121" s="1586"/>
      <c r="AN121" s="1549"/>
      <c r="AO121" s="1555"/>
      <c r="AP121" s="1553"/>
      <c r="AQ121" s="1555"/>
      <c r="AR121" s="1557"/>
      <c r="AS121" s="1559"/>
      <c r="AT121" s="672" t="str">
        <f t="shared" ref="AT121" si="126">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42"/>
      <c r="AV121" s="1493"/>
      <c r="AW121" s="652" t="str">
        <f>IF('別紙様式2-2（４・５月分）'!O94="","",'別紙様式2-2（４・５月分）'!O94)</f>
        <v/>
      </c>
      <c r="AX121" s="1507"/>
      <c r="AY121" s="673"/>
      <c r="AZ121" s="1321" t="str">
        <f>IF(OR(U121="新加算Ⅰ",U121="新加算Ⅱ",U121="新加算Ⅲ",U121="新加算Ⅳ",U121="新加算Ⅴ（１）",U121="新加算Ⅴ（２）",U121="新加算Ⅴ（３）",U121="新加算ⅠⅤ（４）",U121="新加算Ⅴ（５）",U121="新加算Ⅴ（６）",U121="新加算Ⅴ（８）",U121="新加算Ⅴ（11）"),IF(AJ121="○","","未入力"),"")</f>
        <v/>
      </c>
      <c r="BA121" s="1321" t="str">
        <f>IF(OR(V121="新加算Ⅰ",V121="新加算Ⅱ",V121="新加算Ⅲ",V121="新加算Ⅳ",V121="新加算Ⅴ（１）",V121="新加算Ⅴ（２）",V121="新加算Ⅴ（３）",V121="新加算ⅠⅤ（４）",V121="新加算Ⅴ（５）",V121="新加算Ⅴ（６）",V121="新加算Ⅴ（８）",V121="新加算Ⅴ（11）"),IF(AK121="○","","未入力"),"")</f>
        <v/>
      </c>
      <c r="BB121" s="1321" t="str">
        <f>IF(OR(V121="新加算Ⅴ（７）",V121="新加算Ⅴ（９）",V121="新加算Ⅴ（10）",V121="新加算Ⅴ（12）",V121="新加算Ⅴ（13）",V121="新加算Ⅴ（14）"),IF(AL121="○","","未入力"),"")</f>
        <v/>
      </c>
      <c r="BC121" s="1321" t="str">
        <f>IF(OR(V121="新加算Ⅰ",V121="新加算Ⅱ",V121="新加算Ⅲ",V121="新加算Ⅴ（１）",V121="新加算Ⅴ（３）",V121="新加算Ⅴ（８）"),IF(AM121="○","","未入力"),"")</f>
        <v/>
      </c>
      <c r="BD121" s="1588"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493" t="str">
        <f>IF(AND(U121&lt;&gt;"（参考）令和７年度の移行予定",OR(V121="新加算Ⅰ",V121="新加算Ⅴ（１）",V121="新加算Ⅴ（２）",V121="新加算Ⅴ（５）",V121="新加算Ⅴ（７）",V121="新加算Ⅴ（10）")),IF(AO121="","未入力",IF(AO121="いずれも取得していない","要件を満たさない","")),"")</f>
        <v/>
      </c>
      <c r="BF121" s="1493" t="str">
        <f>G118</f>
        <v/>
      </c>
      <c r="BG121" s="1493"/>
      <c r="BH121" s="1493"/>
    </row>
    <row r="122" spans="1:60" ht="30" customHeight="1">
      <c r="A122" s="1241">
        <v>28</v>
      </c>
      <c r="B122" s="1271" t="str">
        <f>IF(基本情報入力シート!C81="","",基本情報入力シート!C81)</f>
        <v/>
      </c>
      <c r="C122" s="1259"/>
      <c r="D122" s="1259"/>
      <c r="E122" s="1259"/>
      <c r="F122" s="1260"/>
      <c r="G122" s="1265" t="str">
        <f>IF(基本情報入力シート!M81="","",基本情報入力シート!M81)</f>
        <v/>
      </c>
      <c r="H122" s="1265" t="str">
        <f>IF(基本情報入力シート!R81="","",基本情報入力シート!R81)</f>
        <v/>
      </c>
      <c r="I122" s="1265" t="str">
        <f>IF(基本情報入力シート!W81="","",基本情報入力シート!W81)</f>
        <v/>
      </c>
      <c r="J122" s="1379" t="str">
        <f>IF(基本情報入力シート!X81="","",基本情報入力シート!X81)</f>
        <v/>
      </c>
      <c r="K122" s="1265" t="str">
        <f>IF(基本情報入力シート!Y81="","",基本情報入力シート!Y81)</f>
        <v/>
      </c>
      <c r="L122" s="1450" t="str">
        <f>IF(基本情報入力シート!AB81="","",基本情報入力シート!AB81)</f>
        <v/>
      </c>
      <c r="M122" s="1447" t="str">
        <f>IF(基本情報入力シート!AC81="","",基本情報入力シート!AC81)</f>
        <v/>
      </c>
      <c r="N122" s="647" t="str">
        <f>IF('別紙様式2-2（４・５月分）'!Q95="","",'別紙様式2-2（４・５月分）'!Q95)</f>
        <v/>
      </c>
      <c r="O122" s="1366" t="str">
        <f>IF(SUM('別紙様式2-2（４・５月分）'!R95:R97)=0,"",SUM('別紙様式2-2（４・５月分）'!R95:R97))</f>
        <v/>
      </c>
      <c r="P122" s="1380" t="str">
        <f>IFERROR(VLOOKUP('別紙様式2-2（４・５月分）'!AR95,【参考】数式用!$AT$5:$AU$22,2,FALSE),"")</f>
        <v/>
      </c>
      <c r="Q122" s="1381"/>
      <c r="R122" s="1382"/>
      <c r="S122" s="1392" t="str">
        <f>IFERROR(VLOOKUP(K122,【参考】数式用!$A$5:$AB$27,MATCH(P122,【参考】数式用!$B$4:$AB$4,0)+1,0),"")</f>
        <v/>
      </c>
      <c r="T122" s="1413" t="s">
        <v>2258</v>
      </c>
      <c r="U122" s="1562" t="str">
        <f>IF('別紙様式2-3（６月以降分）'!U122="","",'別紙様式2-3（６月以降分）'!U122)</f>
        <v/>
      </c>
      <c r="V122" s="1457" t="str">
        <f>IFERROR(VLOOKUP(K122,【参考】数式用!$A$5:$AB$27,MATCH(U122,【参考】数式用!$B$4:$AB$4,0)+1,0),"")</f>
        <v/>
      </c>
      <c r="W122" s="1350" t="s">
        <v>19</v>
      </c>
      <c r="X122" s="1534">
        <f>'別紙様式2-3（６月以降分）'!X122</f>
        <v>6</v>
      </c>
      <c r="Y122" s="1354" t="s">
        <v>10</v>
      </c>
      <c r="Z122" s="1534">
        <f>'別紙様式2-3（６月以降分）'!Z122</f>
        <v>6</v>
      </c>
      <c r="AA122" s="1354" t="s">
        <v>45</v>
      </c>
      <c r="AB122" s="1534">
        <f>'別紙様式2-3（６月以降分）'!AB122</f>
        <v>7</v>
      </c>
      <c r="AC122" s="1354" t="s">
        <v>10</v>
      </c>
      <c r="AD122" s="1534">
        <f>'別紙様式2-3（６月以降分）'!AD122</f>
        <v>3</v>
      </c>
      <c r="AE122" s="1354" t="s">
        <v>2172</v>
      </c>
      <c r="AF122" s="1354" t="s">
        <v>24</v>
      </c>
      <c r="AG122" s="1354">
        <f>IF(X122&gt;=1,(AB122*12+AD122)-(X122*12+Z122)+1,"")</f>
        <v>10</v>
      </c>
      <c r="AH122" s="1360" t="s">
        <v>38</v>
      </c>
      <c r="AI122" s="1481" t="str">
        <f>'別紙様式2-3（６月以降分）'!AI122</f>
        <v/>
      </c>
      <c r="AJ122" s="1542" t="str">
        <f>'別紙様式2-3（６月以降分）'!AJ122</f>
        <v/>
      </c>
      <c r="AK122" s="1538">
        <f>'別紙様式2-3（６月以降分）'!AK122</f>
        <v>0</v>
      </c>
      <c r="AL122" s="1540" t="str">
        <f>IF('別紙様式2-3（６月以降分）'!AL122="","",'別紙様式2-3（６月以降分）'!AL122)</f>
        <v/>
      </c>
      <c r="AM122" s="1571">
        <f>'別紙様式2-3（６月以降分）'!AM122</f>
        <v>0</v>
      </c>
      <c r="AN122" s="1573" t="str">
        <f>IF('別紙様式2-3（６月以降分）'!AN122="","",'別紙様式2-3（６月以降分）'!AN122)</f>
        <v/>
      </c>
      <c r="AO122" s="1403" t="str">
        <f>IF('別紙様式2-3（６月以降分）'!AO122="","",'別紙様式2-3（６月以降分）'!AO122)</f>
        <v/>
      </c>
      <c r="AP122" s="1502" t="str">
        <f>IF('別紙様式2-3（６月以降分）'!AP122="","",'別紙様式2-3（６月以降分）'!AP122)</f>
        <v/>
      </c>
      <c r="AQ122" s="1403" t="str">
        <f>IF('別紙様式2-3（６月以降分）'!AQ122="","",'別紙様式2-3（６月以降分）'!AQ122)</f>
        <v/>
      </c>
      <c r="AR122" s="1583" t="str">
        <f>IF('別紙様式2-3（６月以降分）'!AR122="","",'別紙様式2-3（６月以降分）'!AR122)</f>
        <v/>
      </c>
      <c r="AS122" s="1536" t="str">
        <f>IF('別紙様式2-3（６月以降分）'!AS122="","",'別紙様式2-3（６月以降分）'!AS122)</f>
        <v/>
      </c>
      <c r="AT122" s="667" t="str">
        <f t="shared" ref="AT122" si="127">IF(AV124="","",IF(V124&lt;V122,"！加算の要件上は問題ありませんが、令和６年度当初の新加算の加算率と比較して、移行後の加算率が下がる計画になっています。",""))</f>
        <v/>
      </c>
      <c r="AU122" s="674"/>
      <c r="AV122" s="1233"/>
      <c r="AW122" s="652" t="str">
        <f>IF('別紙様式2-2（４・５月分）'!O95="","",'別紙様式2-2（４・５月分）'!O95)</f>
        <v/>
      </c>
      <c r="AX122" s="1507" t="str">
        <f>IF(SUM('別紙様式2-2（４・５月分）'!P95:P97)=0,"",SUM('別紙様式2-2（４・５月分）'!P95:P97))</f>
        <v/>
      </c>
      <c r="AY122" s="1589" t="str">
        <f>IFERROR(VLOOKUP(K122,【参考】数式用!$AJ$2:$AK$24,2,FALSE),"")</f>
        <v/>
      </c>
      <c r="AZ122" s="584"/>
      <c r="BE122" s="428"/>
      <c r="BF122" s="1493" t="str">
        <f>G122</f>
        <v/>
      </c>
      <c r="BG122" s="1493"/>
      <c r="BH122" s="1493"/>
    </row>
    <row r="123" spans="1:60" ht="15" customHeight="1">
      <c r="A123" s="1226"/>
      <c r="B123" s="1272"/>
      <c r="C123" s="1261"/>
      <c r="D123" s="1261"/>
      <c r="E123" s="1261"/>
      <c r="F123" s="1262"/>
      <c r="G123" s="1266"/>
      <c r="H123" s="1266"/>
      <c r="I123" s="1266"/>
      <c r="J123" s="1372"/>
      <c r="K123" s="1266"/>
      <c r="L123" s="1451"/>
      <c r="M123" s="1448"/>
      <c r="N123" s="1370" t="str">
        <f>IF('別紙様式2-2（４・５月分）'!Q96="","",'別紙様式2-2（４・５月分）'!Q96)</f>
        <v/>
      </c>
      <c r="O123" s="1367"/>
      <c r="P123" s="1383"/>
      <c r="Q123" s="1384"/>
      <c r="R123" s="1385"/>
      <c r="S123" s="1393"/>
      <c r="T123" s="1414"/>
      <c r="U123" s="1563"/>
      <c r="V123" s="1458"/>
      <c r="W123" s="1351"/>
      <c r="X123" s="1535"/>
      <c r="Y123" s="1355"/>
      <c r="Z123" s="1535"/>
      <c r="AA123" s="1355"/>
      <c r="AB123" s="1535"/>
      <c r="AC123" s="1355"/>
      <c r="AD123" s="1535"/>
      <c r="AE123" s="1355"/>
      <c r="AF123" s="1355"/>
      <c r="AG123" s="1355"/>
      <c r="AH123" s="1361"/>
      <c r="AI123" s="1482"/>
      <c r="AJ123" s="1543"/>
      <c r="AK123" s="1539"/>
      <c r="AL123" s="1541"/>
      <c r="AM123" s="1572"/>
      <c r="AN123" s="1574"/>
      <c r="AO123" s="1404"/>
      <c r="AP123" s="1533"/>
      <c r="AQ123" s="1404"/>
      <c r="AR123" s="1584"/>
      <c r="AS123" s="1537"/>
      <c r="AT123" s="1532" t="str">
        <f t="shared" ref="AT123" si="128">IF(AV124="","",IF(OR(AB124="",AB124&lt;&gt;7,AD124="",AD124&lt;&gt;3),"！算定期間の終わりが令和７年３月になっていません。年度内の廃止予定等がなければ、算定対象月を令和７年３月にしてください。",""))</f>
        <v/>
      </c>
      <c r="AU123" s="674"/>
      <c r="AV123" s="1493"/>
      <c r="AW123" s="1518" t="str">
        <f>IF('別紙様式2-2（４・５月分）'!O96="","",'別紙様式2-2（４・５月分）'!O96)</f>
        <v/>
      </c>
      <c r="AX123" s="1507"/>
      <c r="AY123" s="1589"/>
      <c r="AZ123" s="521"/>
      <c r="BE123" s="428"/>
      <c r="BF123" s="1493" t="str">
        <f>G122</f>
        <v/>
      </c>
      <c r="BG123" s="1493"/>
      <c r="BH123" s="1493"/>
    </row>
    <row r="124" spans="1:60" ht="15" customHeight="1">
      <c r="A124" s="1240"/>
      <c r="B124" s="1272"/>
      <c r="C124" s="1261"/>
      <c r="D124" s="1261"/>
      <c r="E124" s="1261"/>
      <c r="F124" s="1262"/>
      <c r="G124" s="1266"/>
      <c r="H124" s="1266"/>
      <c r="I124" s="1266"/>
      <c r="J124" s="1372"/>
      <c r="K124" s="1266"/>
      <c r="L124" s="1451"/>
      <c r="M124" s="1448"/>
      <c r="N124" s="1371"/>
      <c r="O124" s="1368"/>
      <c r="P124" s="1390" t="s">
        <v>2179</v>
      </c>
      <c r="Q124" s="1504" t="str">
        <f>IFERROR(VLOOKUP('別紙様式2-2（４・５月分）'!AR95,【参考】数式用!$AT$5:$AV$22,3,FALSE),"")</f>
        <v/>
      </c>
      <c r="R124" s="1388" t="s">
        <v>2190</v>
      </c>
      <c r="S124" s="1396" t="str">
        <f>IFERROR(VLOOKUP(K122,【参考】数式用!$A$5:$AB$27,MATCH(Q124,【参考】数式用!$B$4:$AB$4,0)+1,0),"")</f>
        <v/>
      </c>
      <c r="T124" s="1459" t="s">
        <v>2267</v>
      </c>
      <c r="U124" s="1569"/>
      <c r="V124" s="1463" t="str">
        <f>IFERROR(VLOOKUP(K122,【参考】数式用!$A$5:$AB$27,MATCH(U124,【参考】数式用!$B$4:$AB$4,0)+1,0),"")</f>
        <v/>
      </c>
      <c r="W124" s="1465" t="s">
        <v>19</v>
      </c>
      <c r="X124" s="1564"/>
      <c r="Y124" s="1407" t="s">
        <v>10</v>
      </c>
      <c r="Z124" s="1564"/>
      <c r="AA124" s="1407" t="s">
        <v>45</v>
      </c>
      <c r="AB124" s="1564"/>
      <c r="AC124" s="1407" t="s">
        <v>10</v>
      </c>
      <c r="AD124" s="1564"/>
      <c r="AE124" s="1407" t="s">
        <v>2172</v>
      </c>
      <c r="AF124" s="1407" t="s">
        <v>24</v>
      </c>
      <c r="AG124" s="1407" t="str">
        <f>IF(X124&gt;=1,(AB124*12+AD124)-(X124*12+Z124)+1,"")</f>
        <v/>
      </c>
      <c r="AH124" s="1409" t="s">
        <v>38</v>
      </c>
      <c r="AI124" s="1411" t="str">
        <f t="shared" ref="AI124" si="129">IFERROR(ROUNDDOWN(ROUND(L122*V124,0)*M122,0)*AG124,"")</f>
        <v/>
      </c>
      <c r="AJ124" s="1577" t="str">
        <f>IFERROR(ROUNDDOWN(ROUND((L122*(V124-AX122)),0)*M122,0)*AG124,"")</f>
        <v/>
      </c>
      <c r="AK124" s="1494" t="str">
        <f>IFERROR(ROUNDDOWN(ROUNDDOWN(ROUND(L122*VLOOKUP(K122,【参考】数式用!$A$5:$AB$27,MATCH("新加算Ⅳ",【参考】数式用!$B$4:$AB$4,0)+1,0),0)*M122,0)*AG124*0.5,0),"")</f>
        <v/>
      </c>
      <c r="AL124" s="1579"/>
      <c r="AM124" s="1585" t="str">
        <f>IFERROR(IF('別紙様式2-2（４・５月分）'!Q97="ベア加算","", IF(OR(U124="新加算Ⅰ",U124="新加算Ⅱ",U124="新加算Ⅲ",U124="新加算Ⅳ"),ROUNDDOWN(ROUND(L122*VLOOKUP(K122,【参考】数式用!$A$5:$I$27,MATCH("ベア加算",【参考】数式用!$B$4:$I$4,0)+1,0),0)*M122,0)*AG124,"")),"")</f>
        <v/>
      </c>
      <c r="AN124" s="1548"/>
      <c r="AO124" s="1554"/>
      <c r="AP124" s="1552"/>
      <c r="AQ124" s="1554"/>
      <c r="AR124" s="1556"/>
      <c r="AS124" s="1558"/>
      <c r="AT124" s="1532"/>
      <c r="AU124" s="542"/>
      <c r="AV124" s="1493" t="str">
        <f t="shared" ref="AV124" si="130">IF(OR(AB122&lt;&gt;7,AD122&lt;&gt;3),"V列に色付け","")</f>
        <v/>
      </c>
      <c r="AW124" s="1518"/>
      <c r="AX124" s="1507"/>
      <c r="AY124" s="671"/>
      <c r="AZ124" s="1321" t="str">
        <f>IF(AM124&lt;&gt;"",IF(AN124="○","入力済","未入力"),"")</f>
        <v/>
      </c>
      <c r="BA124" s="1321"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321" t="str">
        <f>IF(OR(U124="新加算Ⅴ（７）",U124="新加算Ⅴ（９）",U124="新加算Ⅴ（10）",U124="新加算Ⅴ（12）",U124="新加算Ⅴ（13）",U124="新加算Ⅴ（14）"),IF(OR(AP124="○",AP124="令和６年度中に満たす"),"入力済","未入力"),"")</f>
        <v/>
      </c>
      <c r="BC124" s="1321" t="str">
        <f>IF(OR(U124="新加算Ⅰ",U124="新加算Ⅱ",U124="新加算Ⅲ",U124="新加算Ⅴ（１）",U124="新加算Ⅴ（３）",U124="新加算Ⅴ（８）"),IF(OR(AQ124="○",AQ124="令和６年度中に満たす"),"入力済","未入力"),"")</f>
        <v/>
      </c>
      <c r="BD124" s="1588"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493" t="str">
        <f>IF(OR(U124="新加算Ⅰ",U124="新加算Ⅴ（１）",U124="新加算Ⅴ（２）",U124="新加算Ⅴ（５）",U124="新加算Ⅴ（７）",U124="新加算Ⅴ（10）"),IF(AS124="","未入力","入力済"),"")</f>
        <v/>
      </c>
      <c r="BF124" s="1493" t="str">
        <f>G122</f>
        <v/>
      </c>
      <c r="BG124" s="1493"/>
      <c r="BH124" s="1493"/>
    </row>
    <row r="125" spans="1:60" ht="30" customHeight="1" thickBot="1">
      <c r="A125" s="1227"/>
      <c r="B125" s="1376"/>
      <c r="C125" s="1377"/>
      <c r="D125" s="1377"/>
      <c r="E125" s="1377"/>
      <c r="F125" s="1378"/>
      <c r="G125" s="1267"/>
      <c r="H125" s="1267"/>
      <c r="I125" s="1267"/>
      <c r="J125" s="1373"/>
      <c r="K125" s="1267"/>
      <c r="L125" s="1452"/>
      <c r="M125" s="1449"/>
      <c r="N125" s="650" t="str">
        <f>IF('別紙様式2-2（４・５月分）'!Q97="","",'別紙様式2-2（４・５月分）'!Q97)</f>
        <v/>
      </c>
      <c r="O125" s="1369"/>
      <c r="P125" s="1391"/>
      <c r="Q125" s="1505"/>
      <c r="R125" s="1389"/>
      <c r="S125" s="1395"/>
      <c r="T125" s="1460"/>
      <c r="U125" s="1570"/>
      <c r="V125" s="1464"/>
      <c r="W125" s="1466"/>
      <c r="X125" s="1565"/>
      <c r="Y125" s="1408"/>
      <c r="Z125" s="1565"/>
      <c r="AA125" s="1408"/>
      <c r="AB125" s="1565"/>
      <c r="AC125" s="1408"/>
      <c r="AD125" s="1565"/>
      <c r="AE125" s="1408"/>
      <c r="AF125" s="1408"/>
      <c r="AG125" s="1408"/>
      <c r="AH125" s="1410"/>
      <c r="AI125" s="1412"/>
      <c r="AJ125" s="1578"/>
      <c r="AK125" s="1495"/>
      <c r="AL125" s="1580"/>
      <c r="AM125" s="1586"/>
      <c r="AN125" s="1549"/>
      <c r="AO125" s="1555"/>
      <c r="AP125" s="1553"/>
      <c r="AQ125" s="1555"/>
      <c r="AR125" s="1557"/>
      <c r="AS125" s="1559"/>
      <c r="AT125" s="672" t="str">
        <f t="shared" ref="AT125" si="131">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42"/>
      <c r="AV125" s="1493"/>
      <c r="AW125" s="652" t="str">
        <f>IF('別紙様式2-2（４・５月分）'!O97="","",'別紙様式2-2（４・５月分）'!O97)</f>
        <v/>
      </c>
      <c r="AX125" s="1507"/>
      <c r="AY125" s="673"/>
      <c r="AZ125" s="1321" t="str">
        <f>IF(OR(U125="新加算Ⅰ",U125="新加算Ⅱ",U125="新加算Ⅲ",U125="新加算Ⅳ",U125="新加算Ⅴ（１）",U125="新加算Ⅴ（２）",U125="新加算Ⅴ（３）",U125="新加算ⅠⅤ（４）",U125="新加算Ⅴ（５）",U125="新加算Ⅴ（６）",U125="新加算Ⅴ（８）",U125="新加算Ⅴ（11）"),IF(AJ125="○","","未入力"),"")</f>
        <v/>
      </c>
      <c r="BA125" s="1321" t="str">
        <f>IF(OR(V125="新加算Ⅰ",V125="新加算Ⅱ",V125="新加算Ⅲ",V125="新加算Ⅳ",V125="新加算Ⅴ（１）",V125="新加算Ⅴ（２）",V125="新加算Ⅴ（３）",V125="新加算ⅠⅤ（４）",V125="新加算Ⅴ（５）",V125="新加算Ⅴ（６）",V125="新加算Ⅴ（８）",V125="新加算Ⅴ（11）"),IF(AK125="○","","未入力"),"")</f>
        <v/>
      </c>
      <c r="BB125" s="1321" t="str">
        <f>IF(OR(V125="新加算Ⅴ（７）",V125="新加算Ⅴ（９）",V125="新加算Ⅴ（10）",V125="新加算Ⅴ（12）",V125="新加算Ⅴ（13）",V125="新加算Ⅴ（14）"),IF(AL125="○","","未入力"),"")</f>
        <v/>
      </c>
      <c r="BC125" s="1321" t="str">
        <f>IF(OR(V125="新加算Ⅰ",V125="新加算Ⅱ",V125="新加算Ⅲ",V125="新加算Ⅴ（１）",V125="新加算Ⅴ（３）",V125="新加算Ⅴ（８）"),IF(AM125="○","","未入力"),"")</f>
        <v/>
      </c>
      <c r="BD125" s="1588"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493" t="str">
        <f>IF(AND(U125&lt;&gt;"（参考）令和７年度の移行予定",OR(V125="新加算Ⅰ",V125="新加算Ⅴ（１）",V125="新加算Ⅴ（２）",V125="新加算Ⅴ（５）",V125="新加算Ⅴ（７）",V125="新加算Ⅴ（10）")),IF(AO125="","未入力",IF(AO125="いずれも取得していない","要件を満たさない","")),"")</f>
        <v/>
      </c>
      <c r="BF125" s="1493" t="str">
        <f>G122</f>
        <v/>
      </c>
      <c r="BG125" s="1493"/>
      <c r="BH125" s="1493"/>
    </row>
    <row r="126" spans="1:60" ht="30" customHeight="1">
      <c r="A126" s="1225">
        <v>29</v>
      </c>
      <c r="B126" s="1272" t="str">
        <f>IF(基本情報入力シート!C82="","",基本情報入力シート!C82)</f>
        <v/>
      </c>
      <c r="C126" s="1261"/>
      <c r="D126" s="1261"/>
      <c r="E126" s="1261"/>
      <c r="F126" s="1262"/>
      <c r="G126" s="1266" t="str">
        <f>IF(基本情報入力シート!M82="","",基本情報入力シート!M82)</f>
        <v/>
      </c>
      <c r="H126" s="1266" t="str">
        <f>IF(基本情報入力シート!R82="","",基本情報入力シート!R82)</f>
        <v/>
      </c>
      <c r="I126" s="1266" t="str">
        <f>IF(基本情報入力シート!W82="","",基本情報入力シート!W82)</f>
        <v/>
      </c>
      <c r="J126" s="1372" t="str">
        <f>IF(基本情報入力シート!X82="","",基本情報入力シート!X82)</f>
        <v/>
      </c>
      <c r="K126" s="1266" t="str">
        <f>IF(基本情報入力シート!Y82="","",基本情報入力シート!Y82)</f>
        <v/>
      </c>
      <c r="L126" s="1451" t="str">
        <f>IF(基本情報入力シート!AB82="","",基本情報入力シート!AB82)</f>
        <v/>
      </c>
      <c r="M126" s="1453" t="str">
        <f>IF(基本情報入力シート!AC82="","",基本情報入力シート!AC82)</f>
        <v/>
      </c>
      <c r="N126" s="647" t="str">
        <f>IF('別紙様式2-2（４・５月分）'!Q98="","",'別紙様式2-2（４・５月分）'!Q98)</f>
        <v/>
      </c>
      <c r="O126" s="1366" t="str">
        <f>IF(SUM('別紙様式2-2（４・５月分）'!R98:R100)=0,"",SUM('別紙様式2-2（４・５月分）'!R98:R100))</f>
        <v/>
      </c>
      <c r="P126" s="1380" t="str">
        <f>IFERROR(VLOOKUP('別紙様式2-2（４・５月分）'!AR98,【参考】数式用!$AT$5:$AU$22,2,FALSE),"")</f>
        <v/>
      </c>
      <c r="Q126" s="1381"/>
      <c r="R126" s="1382"/>
      <c r="S126" s="1392" t="str">
        <f>IFERROR(VLOOKUP(K126,【参考】数式用!$A$5:$AB$27,MATCH(P126,【参考】数式用!$B$4:$AB$4,0)+1,0),"")</f>
        <v/>
      </c>
      <c r="T126" s="1413" t="s">
        <v>2258</v>
      </c>
      <c r="U126" s="1562" t="str">
        <f>IF('別紙様式2-3（６月以降分）'!U126="","",'別紙様式2-3（６月以降分）'!U126)</f>
        <v/>
      </c>
      <c r="V126" s="1457" t="str">
        <f>IFERROR(VLOOKUP(K126,【参考】数式用!$A$5:$AB$27,MATCH(U126,【参考】数式用!$B$4:$AB$4,0)+1,0),"")</f>
        <v/>
      </c>
      <c r="W126" s="1350" t="s">
        <v>19</v>
      </c>
      <c r="X126" s="1534">
        <f>'別紙様式2-3（６月以降分）'!X126</f>
        <v>6</v>
      </c>
      <c r="Y126" s="1354" t="s">
        <v>10</v>
      </c>
      <c r="Z126" s="1534">
        <f>'別紙様式2-3（６月以降分）'!Z126</f>
        <v>6</v>
      </c>
      <c r="AA126" s="1354" t="s">
        <v>45</v>
      </c>
      <c r="AB126" s="1534">
        <f>'別紙様式2-3（６月以降分）'!AB126</f>
        <v>7</v>
      </c>
      <c r="AC126" s="1354" t="s">
        <v>10</v>
      </c>
      <c r="AD126" s="1534">
        <f>'別紙様式2-3（６月以降分）'!AD126</f>
        <v>3</v>
      </c>
      <c r="AE126" s="1354" t="s">
        <v>2172</v>
      </c>
      <c r="AF126" s="1354" t="s">
        <v>24</v>
      </c>
      <c r="AG126" s="1354">
        <f>IF(X126&gt;=1,(AB126*12+AD126)-(X126*12+Z126)+1,"")</f>
        <v>10</v>
      </c>
      <c r="AH126" s="1360" t="s">
        <v>38</v>
      </c>
      <c r="AI126" s="1481" t="str">
        <f>'別紙様式2-3（６月以降分）'!AI126</f>
        <v/>
      </c>
      <c r="AJ126" s="1542" t="str">
        <f>'別紙様式2-3（６月以降分）'!AJ126</f>
        <v/>
      </c>
      <c r="AK126" s="1538">
        <f>'別紙様式2-3（６月以降分）'!AK126</f>
        <v>0</v>
      </c>
      <c r="AL126" s="1540" t="str">
        <f>IF('別紙様式2-3（６月以降分）'!AL126="","",'別紙様式2-3（６月以降分）'!AL126)</f>
        <v/>
      </c>
      <c r="AM126" s="1571">
        <f>'別紙様式2-3（６月以降分）'!AM126</f>
        <v>0</v>
      </c>
      <c r="AN126" s="1573" t="str">
        <f>IF('別紙様式2-3（６月以降分）'!AN126="","",'別紙様式2-3（６月以降分）'!AN126)</f>
        <v/>
      </c>
      <c r="AO126" s="1403" t="str">
        <f>IF('別紙様式2-3（６月以降分）'!AO126="","",'別紙様式2-3（６月以降分）'!AO126)</f>
        <v/>
      </c>
      <c r="AP126" s="1502" t="str">
        <f>IF('別紙様式2-3（６月以降分）'!AP126="","",'別紙様式2-3（６月以降分）'!AP126)</f>
        <v/>
      </c>
      <c r="AQ126" s="1403" t="str">
        <f>IF('別紙様式2-3（６月以降分）'!AQ126="","",'別紙様式2-3（６月以降分）'!AQ126)</f>
        <v/>
      </c>
      <c r="AR126" s="1583" t="str">
        <f>IF('別紙様式2-3（６月以降分）'!AR126="","",'別紙様式2-3（６月以降分）'!AR126)</f>
        <v/>
      </c>
      <c r="AS126" s="1536" t="str">
        <f>IF('別紙様式2-3（６月以降分）'!AS126="","",'別紙様式2-3（６月以降分）'!AS126)</f>
        <v/>
      </c>
      <c r="AT126" s="667" t="str">
        <f t="shared" ref="AT126" si="132">IF(AV128="","",IF(V128&lt;V126,"！加算の要件上は問題ありませんが、令和６年度当初の新加算の加算率と比較して、移行後の加算率が下がる計画になっています。",""))</f>
        <v/>
      </c>
      <c r="AU126" s="674"/>
      <c r="AV126" s="1233"/>
      <c r="AW126" s="652" t="str">
        <f>IF('別紙様式2-2（４・５月分）'!O98="","",'別紙様式2-2（４・５月分）'!O98)</f>
        <v/>
      </c>
      <c r="AX126" s="1507" t="str">
        <f>IF(SUM('別紙様式2-2（４・５月分）'!P98:P100)=0,"",SUM('別紙様式2-2（４・５月分）'!P98:P100))</f>
        <v/>
      </c>
      <c r="AY126" s="1590" t="str">
        <f>IFERROR(VLOOKUP(K126,【参考】数式用!$AJ$2:$AK$24,2,FALSE),"")</f>
        <v/>
      </c>
      <c r="AZ126" s="584"/>
      <c r="BE126" s="428"/>
      <c r="BF126" s="1493" t="str">
        <f>G126</f>
        <v/>
      </c>
      <c r="BG126" s="1493"/>
      <c r="BH126" s="1493"/>
    </row>
    <row r="127" spans="1:60" ht="15" customHeight="1">
      <c r="A127" s="1226"/>
      <c r="B127" s="1272"/>
      <c r="C127" s="1261"/>
      <c r="D127" s="1261"/>
      <c r="E127" s="1261"/>
      <c r="F127" s="1262"/>
      <c r="G127" s="1266"/>
      <c r="H127" s="1266"/>
      <c r="I127" s="1266"/>
      <c r="J127" s="1372"/>
      <c r="K127" s="1266"/>
      <c r="L127" s="1451"/>
      <c r="M127" s="1453"/>
      <c r="N127" s="1370" t="str">
        <f>IF('別紙様式2-2（４・５月分）'!Q99="","",'別紙様式2-2（４・５月分）'!Q99)</f>
        <v/>
      </c>
      <c r="O127" s="1367"/>
      <c r="P127" s="1383"/>
      <c r="Q127" s="1384"/>
      <c r="R127" s="1385"/>
      <c r="S127" s="1393"/>
      <c r="T127" s="1414"/>
      <c r="U127" s="1563"/>
      <c r="V127" s="1458"/>
      <c r="W127" s="1351"/>
      <c r="X127" s="1535"/>
      <c r="Y127" s="1355"/>
      <c r="Z127" s="1535"/>
      <c r="AA127" s="1355"/>
      <c r="AB127" s="1535"/>
      <c r="AC127" s="1355"/>
      <c r="AD127" s="1535"/>
      <c r="AE127" s="1355"/>
      <c r="AF127" s="1355"/>
      <c r="AG127" s="1355"/>
      <c r="AH127" s="1361"/>
      <c r="AI127" s="1482"/>
      <c r="AJ127" s="1543"/>
      <c r="AK127" s="1539"/>
      <c r="AL127" s="1541"/>
      <c r="AM127" s="1572"/>
      <c r="AN127" s="1574"/>
      <c r="AO127" s="1404"/>
      <c r="AP127" s="1533"/>
      <c r="AQ127" s="1404"/>
      <c r="AR127" s="1584"/>
      <c r="AS127" s="1537"/>
      <c r="AT127" s="1532" t="str">
        <f t="shared" ref="AT127" si="133">IF(AV128="","",IF(OR(AB128="",AB128&lt;&gt;7,AD128="",AD128&lt;&gt;3),"！算定期間の終わりが令和７年３月になっていません。年度内の廃止予定等がなければ、算定対象月を令和７年３月にしてください。",""))</f>
        <v/>
      </c>
      <c r="AU127" s="674"/>
      <c r="AV127" s="1493"/>
      <c r="AW127" s="1518" t="str">
        <f>IF('別紙様式2-2（４・５月分）'!O99="","",'別紙様式2-2（４・５月分）'!O99)</f>
        <v/>
      </c>
      <c r="AX127" s="1507"/>
      <c r="AY127" s="1589"/>
      <c r="AZ127" s="521"/>
      <c r="BE127" s="428"/>
      <c r="BF127" s="1493" t="str">
        <f>G126</f>
        <v/>
      </c>
      <c r="BG127" s="1493"/>
      <c r="BH127" s="1493"/>
    </row>
    <row r="128" spans="1:60" ht="15" customHeight="1">
      <c r="A128" s="1240"/>
      <c r="B128" s="1272"/>
      <c r="C128" s="1261"/>
      <c r="D128" s="1261"/>
      <c r="E128" s="1261"/>
      <c r="F128" s="1262"/>
      <c r="G128" s="1266"/>
      <c r="H128" s="1266"/>
      <c r="I128" s="1266"/>
      <c r="J128" s="1372"/>
      <c r="K128" s="1266"/>
      <c r="L128" s="1451"/>
      <c r="M128" s="1453"/>
      <c r="N128" s="1371"/>
      <c r="O128" s="1368"/>
      <c r="P128" s="1390" t="s">
        <v>2179</v>
      </c>
      <c r="Q128" s="1504" t="str">
        <f>IFERROR(VLOOKUP('別紙様式2-2（４・５月分）'!AR98,【参考】数式用!$AT$5:$AV$22,3,FALSE),"")</f>
        <v/>
      </c>
      <c r="R128" s="1388" t="s">
        <v>2190</v>
      </c>
      <c r="S128" s="1394" t="str">
        <f>IFERROR(VLOOKUP(K126,【参考】数式用!$A$5:$AB$27,MATCH(Q128,【参考】数式用!$B$4:$AB$4,0)+1,0),"")</f>
        <v/>
      </c>
      <c r="T128" s="1459" t="s">
        <v>2267</v>
      </c>
      <c r="U128" s="1569"/>
      <c r="V128" s="1463" t="str">
        <f>IFERROR(VLOOKUP(K126,【参考】数式用!$A$5:$AB$27,MATCH(U128,【参考】数式用!$B$4:$AB$4,0)+1,0),"")</f>
        <v/>
      </c>
      <c r="W128" s="1465" t="s">
        <v>19</v>
      </c>
      <c r="X128" s="1564"/>
      <c r="Y128" s="1407" t="s">
        <v>10</v>
      </c>
      <c r="Z128" s="1564"/>
      <c r="AA128" s="1407" t="s">
        <v>45</v>
      </c>
      <c r="AB128" s="1564"/>
      <c r="AC128" s="1407" t="s">
        <v>10</v>
      </c>
      <c r="AD128" s="1564"/>
      <c r="AE128" s="1407" t="s">
        <v>2172</v>
      </c>
      <c r="AF128" s="1407" t="s">
        <v>24</v>
      </c>
      <c r="AG128" s="1407" t="str">
        <f>IF(X128&gt;=1,(AB128*12+AD128)-(X128*12+Z128)+1,"")</f>
        <v/>
      </c>
      <c r="AH128" s="1409" t="s">
        <v>38</v>
      </c>
      <c r="AI128" s="1411" t="str">
        <f t="shared" ref="AI128" si="134">IFERROR(ROUNDDOWN(ROUND(L126*V128,0)*M126,0)*AG128,"")</f>
        <v/>
      </c>
      <c r="AJ128" s="1577" t="str">
        <f>IFERROR(ROUNDDOWN(ROUND((L126*(V128-AX126)),0)*M126,0)*AG128,"")</f>
        <v/>
      </c>
      <c r="AK128" s="1494" t="str">
        <f>IFERROR(ROUNDDOWN(ROUNDDOWN(ROUND(L126*VLOOKUP(K126,【参考】数式用!$A$5:$AB$27,MATCH("新加算Ⅳ",【参考】数式用!$B$4:$AB$4,0)+1,0),0)*M126,0)*AG128*0.5,0),"")</f>
        <v/>
      </c>
      <c r="AL128" s="1579"/>
      <c r="AM128" s="1585" t="str">
        <f>IFERROR(IF('別紙様式2-2（４・５月分）'!Q100="ベア加算","", IF(OR(U128="新加算Ⅰ",U128="新加算Ⅱ",U128="新加算Ⅲ",U128="新加算Ⅳ"),ROUNDDOWN(ROUND(L126*VLOOKUP(K126,【参考】数式用!$A$5:$I$27,MATCH("ベア加算",【参考】数式用!$B$4:$I$4,0)+1,0),0)*M126,0)*AG128,"")),"")</f>
        <v/>
      </c>
      <c r="AN128" s="1548"/>
      <c r="AO128" s="1554"/>
      <c r="AP128" s="1552"/>
      <c r="AQ128" s="1554"/>
      <c r="AR128" s="1556"/>
      <c r="AS128" s="1558"/>
      <c r="AT128" s="1532"/>
      <c r="AU128" s="542"/>
      <c r="AV128" s="1493" t="str">
        <f t="shared" ref="AV128" si="135">IF(OR(AB126&lt;&gt;7,AD126&lt;&gt;3),"V列に色付け","")</f>
        <v/>
      </c>
      <c r="AW128" s="1518"/>
      <c r="AX128" s="1507"/>
      <c r="AY128" s="671"/>
      <c r="AZ128" s="1321" t="str">
        <f>IF(AM128&lt;&gt;"",IF(AN128="○","入力済","未入力"),"")</f>
        <v/>
      </c>
      <c r="BA128" s="1321"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321" t="str">
        <f>IF(OR(U128="新加算Ⅴ（７）",U128="新加算Ⅴ（９）",U128="新加算Ⅴ（10）",U128="新加算Ⅴ（12）",U128="新加算Ⅴ（13）",U128="新加算Ⅴ（14）"),IF(OR(AP128="○",AP128="令和６年度中に満たす"),"入力済","未入力"),"")</f>
        <v/>
      </c>
      <c r="BC128" s="1321" t="str">
        <f>IF(OR(U128="新加算Ⅰ",U128="新加算Ⅱ",U128="新加算Ⅲ",U128="新加算Ⅴ（１）",U128="新加算Ⅴ（３）",U128="新加算Ⅴ（８）"),IF(OR(AQ128="○",AQ128="令和６年度中に満たす"),"入力済","未入力"),"")</f>
        <v/>
      </c>
      <c r="BD128" s="1588"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493" t="str">
        <f>IF(OR(U128="新加算Ⅰ",U128="新加算Ⅴ（１）",U128="新加算Ⅴ（２）",U128="新加算Ⅴ（５）",U128="新加算Ⅴ（７）",U128="新加算Ⅴ（10）"),IF(AS128="","未入力","入力済"),"")</f>
        <v/>
      </c>
      <c r="BF128" s="1493" t="str">
        <f>G126</f>
        <v/>
      </c>
      <c r="BG128" s="1493"/>
      <c r="BH128" s="1493"/>
    </row>
    <row r="129" spans="1:60" ht="30" customHeight="1" thickBot="1">
      <c r="A129" s="1227"/>
      <c r="B129" s="1376"/>
      <c r="C129" s="1377"/>
      <c r="D129" s="1377"/>
      <c r="E129" s="1377"/>
      <c r="F129" s="1378"/>
      <c r="G129" s="1267"/>
      <c r="H129" s="1267"/>
      <c r="I129" s="1267"/>
      <c r="J129" s="1373"/>
      <c r="K129" s="1267"/>
      <c r="L129" s="1452"/>
      <c r="M129" s="1454"/>
      <c r="N129" s="650" t="str">
        <f>IF('別紙様式2-2（４・５月分）'!Q100="","",'別紙様式2-2（４・５月分）'!Q100)</f>
        <v/>
      </c>
      <c r="O129" s="1369"/>
      <c r="P129" s="1391"/>
      <c r="Q129" s="1505"/>
      <c r="R129" s="1389"/>
      <c r="S129" s="1395"/>
      <c r="T129" s="1460"/>
      <c r="U129" s="1570"/>
      <c r="V129" s="1464"/>
      <c r="W129" s="1466"/>
      <c r="X129" s="1565"/>
      <c r="Y129" s="1408"/>
      <c r="Z129" s="1565"/>
      <c r="AA129" s="1408"/>
      <c r="AB129" s="1565"/>
      <c r="AC129" s="1408"/>
      <c r="AD129" s="1565"/>
      <c r="AE129" s="1408"/>
      <c r="AF129" s="1408"/>
      <c r="AG129" s="1408"/>
      <c r="AH129" s="1410"/>
      <c r="AI129" s="1412"/>
      <c r="AJ129" s="1578"/>
      <c r="AK129" s="1495"/>
      <c r="AL129" s="1580"/>
      <c r="AM129" s="1586"/>
      <c r="AN129" s="1549"/>
      <c r="AO129" s="1555"/>
      <c r="AP129" s="1553"/>
      <c r="AQ129" s="1555"/>
      <c r="AR129" s="1557"/>
      <c r="AS129" s="1559"/>
      <c r="AT129" s="672" t="str">
        <f t="shared" ref="AT129" si="136">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42"/>
      <c r="AV129" s="1493"/>
      <c r="AW129" s="652" t="str">
        <f>IF('別紙様式2-2（４・５月分）'!O100="","",'別紙様式2-2（４・５月分）'!O100)</f>
        <v/>
      </c>
      <c r="AX129" s="1507"/>
      <c r="AY129" s="673"/>
      <c r="AZ129" s="1321" t="str">
        <f>IF(OR(U129="新加算Ⅰ",U129="新加算Ⅱ",U129="新加算Ⅲ",U129="新加算Ⅳ",U129="新加算Ⅴ（１）",U129="新加算Ⅴ（２）",U129="新加算Ⅴ（３）",U129="新加算ⅠⅤ（４）",U129="新加算Ⅴ（５）",U129="新加算Ⅴ（６）",U129="新加算Ⅴ（８）",U129="新加算Ⅴ（11）"),IF(AJ129="○","","未入力"),"")</f>
        <v/>
      </c>
      <c r="BA129" s="1321" t="str">
        <f>IF(OR(V129="新加算Ⅰ",V129="新加算Ⅱ",V129="新加算Ⅲ",V129="新加算Ⅳ",V129="新加算Ⅴ（１）",V129="新加算Ⅴ（２）",V129="新加算Ⅴ（３）",V129="新加算ⅠⅤ（４）",V129="新加算Ⅴ（５）",V129="新加算Ⅴ（６）",V129="新加算Ⅴ（８）",V129="新加算Ⅴ（11）"),IF(AK129="○","","未入力"),"")</f>
        <v/>
      </c>
      <c r="BB129" s="1321" t="str">
        <f>IF(OR(V129="新加算Ⅴ（７）",V129="新加算Ⅴ（９）",V129="新加算Ⅴ（10）",V129="新加算Ⅴ（12）",V129="新加算Ⅴ（13）",V129="新加算Ⅴ（14）"),IF(AL129="○","","未入力"),"")</f>
        <v/>
      </c>
      <c r="BC129" s="1321" t="str">
        <f>IF(OR(V129="新加算Ⅰ",V129="新加算Ⅱ",V129="新加算Ⅲ",V129="新加算Ⅴ（１）",V129="新加算Ⅴ（３）",V129="新加算Ⅴ（８）"),IF(AM129="○","","未入力"),"")</f>
        <v/>
      </c>
      <c r="BD129" s="1588"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493" t="str">
        <f>IF(AND(U129&lt;&gt;"（参考）令和７年度の移行予定",OR(V129="新加算Ⅰ",V129="新加算Ⅴ（１）",V129="新加算Ⅴ（２）",V129="新加算Ⅴ（５）",V129="新加算Ⅴ（７）",V129="新加算Ⅴ（10）")),IF(AO129="","未入力",IF(AO129="いずれも取得していない","要件を満たさない","")),"")</f>
        <v/>
      </c>
      <c r="BF129" s="1493" t="str">
        <f>G126</f>
        <v/>
      </c>
      <c r="BG129" s="1493"/>
      <c r="BH129" s="1493"/>
    </row>
    <row r="130" spans="1:60" ht="30" customHeight="1">
      <c r="A130" s="1241">
        <v>30</v>
      </c>
      <c r="B130" s="1271" t="str">
        <f>IF(基本情報入力シート!C83="","",基本情報入力シート!C83)</f>
        <v/>
      </c>
      <c r="C130" s="1259"/>
      <c r="D130" s="1259"/>
      <c r="E130" s="1259"/>
      <c r="F130" s="1260"/>
      <c r="G130" s="1265" t="str">
        <f>IF(基本情報入力シート!M83="","",基本情報入力シート!M83)</f>
        <v/>
      </c>
      <c r="H130" s="1265" t="str">
        <f>IF(基本情報入力シート!R83="","",基本情報入力シート!R83)</f>
        <v/>
      </c>
      <c r="I130" s="1265" t="str">
        <f>IF(基本情報入力シート!W83="","",基本情報入力シート!W83)</f>
        <v/>
      </c>
      <c r="J130" s="1379" t="str">
        <f>IF(基本情報入力シート!X83="","",基本情報入力シート!X83)</f>
        <v/>
      </c>
      <c r="K130" s="1265" t="str">
        <f>IF(基本情報入力シート!Y83="","",基本情報入力シート!Y83)</f>
        <v/>
      </c>
      <c r="L130" s="1450" t="str">
        <f>IF(基本情報入力シート!AB83="","",基本情報入力シート!AB83)</f>
        <v/>
      </c>
      <c r="M130" s="1447" t="str">
        <f>IF(基本情報入力シート!AC83="","",基本情報入力シート!AC83)</f>
        <v/>
      </c>
      <c r="N130" s="647" t="str">
        <f>IF('別紙様式2-2（４・５月分）'!Q101="","",'別紙様式2-2（４・５月分）'!Q101)</f>
        <v/>
      </c>
      <c r="O130" s="1366" t="str">
        <f>IF(SUM('別紙様式2-2（４・５月分）'!R101:R103)=0,"",SUM('別紙様式2-2（４・５月分）'!R101:R103))</f>
        <v/>
      </c>
      <c r="P130" s="1380" t="str">
        <f>IFERROR(VLOOKUP('別紙様式2-2（４・５月分）'!AR101,【参考】数式用!$AT$5:$AU$22,2,FALSE),"")</f>
        <v/>
      </c>
      <c r="Q130" s="1381"/>
      <c r="R130" s="1382"/>
      <c r="S130" s="1392" t="str">
        <f>IFERROR(VLOOKUP(K130,【参考】数式用!$A$5:$AB$27,MATCH(P130,【参考】数式用!$B$4:$AB$4,0)+1,0),"")</f>
        <v/>
      </c>
      <c r="T130" s="1413" t="s">
        <v>2258</v>
      </c>
      <c r="U130" s="1562" t="str">
        <f>IF('別紙様式2-3（６月以降分）'!U130="","",'別紙様式2-3（６月以降分）'!U130)</f>
        <v/>
      </c>
      <c r="V130" s="1457" t="str">
        <f>IFERROR(VLOOKUP(K130,【参考】数式用!$A$5:$AB$27,MATCH(U130,【参考】数式用!$B$4:$AB$4,0)+1,0),"")</f>
        <v/>
      </c>
      <c r="W130" s="1350" t="s">
        <v>19</v>
      </c>
      <c r="X130" s="1534">
        <f>'別紙様式2-3（６月以降分）'!X130</f>
        <v>6</v>
      </c>
      <c r="Y130" s="1354" t="s">
        <v>10</v>
      </c>
      <c r="Z130" s="1534">
        <f>'別紙様式2-3（６月以降分）'!Z130</f>
        <v>6</v>
      </c>
      <c r="AA130" s="1354" t="s">
        <v>45</v>
      </c>
      <c r="AB130" s="1534">
        <f>'別紙様式2-3（６月以降分）'!AB130</f>
        <v>7</v>
      </c>
      <c r="AC130" s="1354" t="s">
        <v>10</v>
      </c>
      <c r="AD130" s="1534">
        <f>'別紙様式2-3（６月以降分）'!AD130</f>
        <v>3</v>
      </c>
      <c r="AE130" s="1354" t="s">
        <v>2172</v>
      </c>
      <c r="AF130" s="1354" t="s">
        <v>24</v>
      </c>
      <c r="AG130" s="1354">
        <f>IF(X130&gt;=1,(AB130*12+AD130)-(X130*12+Z130)+1,"")</f>
        <v>10</v>
      </c>
      <c r="AH130" s="1360" t="s">
        <v>38</v>
      </c>
      <c r="AI130" s="1481" t="str">
        <f>'別紙様式2-3（６月以降分）'!AI130</f>
        <v/>
      </c>
      <c r="AJ130" s="1542" t="str">
        <f>'別紙様式2-3（６月以降分）'!AJ130</f>
        <v/>
      </c>
      <c r="AK130" s="1538">
        <f>'別紙様式2-3（６月以降分）'!AK130</f>
        <v>0</v>
      </c>
      <c r="AL130" s="1540" t="str">
        <f>IF('別紙様式2-3（６月以降分）'!AL130="","",'別紙様式2-3（６月以降分）'!AL130)</f>
        <v/>
      </c>
      <c r="AM130" s="1571">
        <f>'別紙様式2-3（６月以降分）'!AM130</f>
        <v>0</v>
      </c>
      <c r="AN130" s="1573" t="str">
        <f>IF('別紙様式2-3（６月以降分）'!AN130="","",'別紙様式2-3（６月以降分）'!AN130)</f>
        <v/>
      </c>
      <c r="AO130" s="1403" t="str">
        <f>IF('別紙様式2-3（６月以降分）'!AO130="","",'別紙様式2-3（６月以降分）'!AO130)</f>
        <v/>
      </c>
      <c r="AP130" s="1502" t="str">
        <f>IF('別紙様式2-3（６月以降分）'!AP130="","",'別紙様式2-3（６月以降分）'!AP130)</f>
        <v/>
      </c>
      <c r="AQ130" s="1403" t="str">
        <f>IF('別紙様式2-3（６月以降分）'!AQ130="","",'別紙様式2-3（６月以降分）'!AQ130)</f>
        <v/>
      </c>
      <c r="AR130" s="1583" t="str">
        <f>IF('別紙様式2-3（６月以降分）'!AR130="","",'別紙様式2-3（６月以降分）'!AR130)</f>
        <v/>
      </c>
      <c r="AS130" s="1536" t="str">
        <f>IF('別紙様式2-3（６月以降分）'!AS130="","",'別紙様式2-3（６月以降分）'!AS130)</f>
        <v/>
      </c>
      <c r="AT130" s="667" t="str">
        <f t="shared" ref="AT130" si="137">IF(AV132="","",IF(V132&lt;V130,"！加算の要件上は問題ありませんが、令和６年度当初の新加算の加算率と比較して、移行後の加算率が下がる計画になっています。",""))</f>
        <v/>
      </c>
      <c r="AU130" s="674"/>
      <c r="AV130" s="1233"/>
      <c r="AW130" s="652" t="str">
        <f>IF('別紙様式2-2（４・５月分）'!O101="","",'別紙様式2-2（４・５月分）'!O101)</f>
        <v/>
      </c>
      <c r="AX130" s="1507" t="str">
        <f>IF(SUM('別紙様式2-2（４・５月分）'!P101:P103)=0,"",SUM('別紙様式2-2（４・５月分）'!P101:P103))</f>
        <v/>
      </c>
      <c r="AY130" s="1589" t="str">
        <f>IFERROR(VLOOKUP(K130,【参考】数式用!$AJ$2:$AK$24,2,FALSE),"")</f>
        <v/>
      </c>
      <c r="AZ130" s="584"/>
      <c r="BE130" s="428"/>
      <c r="BF130" s="1493" t="str">
        <f>G130</f>
        <v/>
      </c>
      <c r="BG130" s="1493"/>
      <c r="BH130" s="1493"/>
    </row>
    <row r="131" spans="1:60" ht="15" customHeight="1">
      <c r="A131" s="1226"/>
      <c r="B131" s="1272"/>
      <c r="C131" s="1261"/>
      <c r="D131" s="1261"/>
      <c r="E131" s="1261"/>
      <c r="F131" s="1262"/>
      <c r="G131" s="1266"/>
      <c r="H131" s="1266"/>
      <c r="I131" s="1266"/>
      <c r="J131" s="1372"/>
      <c r="K131" s="1266"/>
      <c r="L131" s="1451"/>
      <c r="M131" s="1448"/>
      <c r="N131" s="1370" t="str">
        <f>IF('別紙様式2-2（４・５月分）'!Q102="","",'別紙様式2-2（４・５月分）'!Q102)</f>
        <v/>
      </c>
      <c r="O131" s="1367"/>
      <c r="P131" s="1383"/>
      <c r="Q131" s="1384"/>
      <c r="R131" s="1385"/>
      <c r="S131" s="1393"/>
      <c r="T131" s="1414"/>
      <c r="U131" s="1563"/>
      <c r="V131" s="1458"/>
      <c r="W131" s="1351"/>
      <c r="X131" s="1535"/>
      <c r="Y131" s="1355"/>
      <c r="Z131" s="1535"/>
      <c r="AA131" s="1355"/>
      <c r="AB131" s="1535"/>
      <c r="AC131" s="1355"/>
      <c r="AD131" s="1535"/>
      <c r="AE131" s="1355"/>
      <c r="AF131" s="1355"/>
      <c r="AG131" s="1355"/>
      <c r="AH131" s="1361"/>
      <c r="AI131" s="1482"/>
      <c r="AJ131" s="1543"/>
      <c r="AK131" s="1539"/>
      <c r="AL131" s="1541"/>
      <c r="AM131" s="1572"/>
      <c r="AN131" s="1574"/>
      <c r="AO131" s="1404"/>
      <c r="AP131" s="1533"/>
      <c r="AQ131" s="1404"/>
      <c r="AR131" s="1584"/>
      <c r="AS131" s="1537"/>
      <c r="AT131" s="1532" t="str">
        <f t="shared" ref="AT131" si="138">IF(AV132="","",IF(OR(AB132="",AB132&lt;&gt;7,AD132="",AD132&lt;&gt;3),"！算定期間の終わりが令和７年３月になっていません。年度内の廃止予定等がなければ、算定対象月を令和７年３月にしてください。",""))</f>
        <v/>
      </c>
      <c r="AU131" s="674"/>
      <c r="AV131" s="1493"/>
      <c r="AW131" s="1518" t="str">
        <f>IF('別紙様式2-2（４・５月分）'!O102="","",'別紙様式2-2（４・５月分）'!O102)</f>
        <v/>
      </c>
      <c r="AX131" s="1507"/>
      <c r="AY131" s="1589"/>
      <c r="AZ131" s="521"/>
      <c r="BE131" s="428"/>
      <c r="BF131" s="1493" t="str">
        <f>G130</f>
        <v/>
      </c>
      <c r="BG131" s="1493"/>
      <c r="BH131" s="1493"/>
    </row>
    <row r="132" spans="1:60" ht="15" customHeight="1">
      <c r="A132" s="1240"/>
      <c r="B132" s="1272"/>
      <c r="C132" s="1261"/>
      <c r="D132" s="1261"/>
      <c r="E132" s="1261"/>
      <c r="F132" s="1262"/>
      <c r="G132" s="1266"/>
      <c r="H132" s="1266"/>
      <c r="I132" s="1266"/>
      <c r="J132" s="1372"/>
      <c r="K132" s="1266"/>
      <c r="L132" s="1451"/>
      <c r="M132" s="1448"/>
      <c r="N132" s="1371"/>
      <c r="O132" s="1368"/>
      <c r="P132" s="1390" t="s">
        <v>2179</v>
      </c>
      <c r="Q132" s="1504" t="str">
        <f>IFERROR(VLOOKUP('別紙様式2-2（４・５月分）'!AR101,【参考】数式用!$AT$5:$AV$22,3,FALSE),"")</f>
        <v/>
      </c>
      <c r="R132" s="1388" t="s">
        <v>2190</v>
      </c>
      <c r="S132" s="1396" t="str">
        <f>IFERROR(VLOOKUP(K130,【参考】数式用!$A$5:$AB$27,MATCH(Q132,【参考】数式用!$B$4:$AB$4,0)+1,0),"")</f>
        <v/>
      </c>
      <c r="T132" s="1459" t="s">
        <v>2267</v>
      </c>
      <c r="U132" s="1569"/>
      <c r="V132" s="1463" t="str">
        <f>IFERROR(VLOOKUP(K130,【参考】数式用!$A$5:$AB$27,MATCH(U132,【参考】数式用!$B$4:$AB$4,0)+1,0),"")</f>
        <v/>
      </c>
      <c r="W132" s="1465" t="s">
        <v>19</v>
      </c>
      <c r="X132" s="1564"/>
      <c r="Y132" s="1407" t="s">
        <v>10</v>
      </c>
      <c r="Z132" s="1564"/>
      <c r="AA132" s="1407" t="s">
        <v>45</v>
      </c>
      <c r="AB132" s="1564"/>
      <c r="AC132" s="1407" t="s">
        <v>10</v>
      </c>
      <c r="AD132" s="1564"/>
      <c r="AE132" s="1407" t="s">
        <v>2172</v>
      </c>
      <c r="AF132" s="1407" t="s">
        <v>24</v>
      </c>
      <c r="AG132" s="1407" t="str">
        <f>IF(X132&gt;=1,(AB132*12+AD132)-(X132*12+Z132)+1,"")</f>
        <v/>
      </c>
      <c r="AH132" s="1409" t="s">
        <v>38</v>
      </c>
      <c r="AI132" s="1411" t="str">
        <f t="shared" ref="AI132" si="139">IFERROR(ROUNDDOWN(ROUND(L130*V132,0)*M130,0)*AG132,"")</f>
        <v/>
      </c>
      <c r="AJ132" s="1577" t="str">
        <f>IFERROR(ROUNDDOWN(ROUND((L130*(V132-AX130)),0)*M130,0)*AG132,"")</f>
        <v/>
      </c>
      <c r="AK132" s="1494" t="str">
        <f>IFERROR(ROUNDDOWN(ROUNDDOWN(ROUND(L130*VLOOKUP(K130,【参考】数式用!$A$5:$AB$27,MATCH("新加算Ⅳ",【参考】数式用!$B$4:$AB$4,0)+1,0),0)*M130,0)*AG132*0.5,0),"")</f>
        <v/>
      </c>
      <c r="AL132" s="1579"/>
      <c r="AM132" s="1585" t="str">
        <f>IFERROR(IF('別紙様式2-2（４・５月分）'!Q103="ベア加算","", IF(OR(U132="新加算Ⅰ",U132="新加算Ⅱ",U132="新加算Ⅲ",U132="新加算Ⅳ"),ROUNDDOWN(ROUND(L130*VLOOKUP(K130,【参考】数式用!$A$5:$I$27,MATCH("ベア加算",【参考】数式用!$B$4:$I$4,0)+1,0),0)*M130,0)*AG132,"")),"")</f>
        <v/>
      </c>
      <c r="AN132" s="1548"/>
      <c r="AO132" s="1554"/>
      <c r="AP132" s="1552"/>
      <c r="AQ132" s="1554"/>
      <c r="AR132" s="1556"/>
      <c r="AS132" s="1558"/>
      <c r="AT132" s="1532"/>
      <c r="AU132" s="542"/>
      <c r="AV132" s="1493" t="str">
        <f t="shared" ref="AV132" si="140">IF(OR(AB130&lt;&gt;7,AD130&lt;&gt;3),"V列に色付け","")</f>
        <v/>
      </c>
      <c r="AW132" s="1518"/>
      <c r="AX132" s="1507"/>
      <c r="AY132" s="671"/>
      <c r="AZ132" s="1321" t="str">
        <f>IF(AM132&lt;&gt;"",IF(AN132="○","入力済","未入力"),"")</f>
        <v/>
      </c>
      <c r="BA132" s="1321"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321" t="str">
        <f>IF(OR(U132="新加算Ⅴ（７）",U132="新加算Ⅴ（９）",U132="新加算Ⅴ（10）",U132="新加算Ⅴ（12）",U132="新加算Ⅴ（13）",U132="新加算Ⅴ（14）"),IF(OR(AP132="○",AP132="令和６年度中に満たす"),"入力済","未入力"),"")</f>
        <v/>
      </c>
      <c r="BC132" s="1321" t="str">
        <f>IF(OR(U132="新加算Ⅰ",U132="新加算Ⅱ",U132="新加算Ⅲ",U132="新加算Ⅴ（１）",U132="新加算Ⅴ（３）",U132="新加算Ⅴ（８）"),IF(OR(AQ132="○",AQ132="令和６年度中に満たす"),"入力済","未入力"),"")</f>
        <v/>
      </c>
      <c r="BD132" s="1588"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493" t="str">
        <f>IF(OR(U132="新加算Ⅰ",U132="新加算Ⅴ（１）",U132="新加算Ⅴ（２）",U132="新加算Ⅴ（５）",U132="新加算Ⅴ（７）",U132="新加算Ⅴ（10）"),IF(AS132="","未入力","入力済"),"")</f>
        <v/>
      </c>
      <c r="BF132" s="1493" t="str">
        <f>G130</f>
        <v/>
      </c>
      <c r="BG132" s="1493"/>
      <c r="BH132" s="1493"/>
    </row>
    <row r="133" spans="1:60" ht="30" customHeight="1" thickBot="1">
      <c r="A133" s="1227"/>
      <c r="B133" s="1376"/>
      <c r="C133" s="1377"/>
      <c r="D133" s="1377"/>
      <c r="E133" s="1377"/>
      <c r="F133" s="1378"/>
      <c r="G133" s="1267"/>
      <c r="H133" s="1267"/>
      <c r="I133" s="1267"/>
      <c r="J133" s="1373"/>
      <c r="K133" s="1267"/>
      <c r="L133" s="1452"/>
      <c r="M133" s="1449"/>
      <c r="N133" s="650" t="str">
        <f>IF('別紙様式2-2（４・５月分）'!Q103="","",'別紙様式2-2（４・５月分）'!Q103)</f>
        <v/>
      </c>
      <c r="O133" s="1369"/>
      <c r="P133" s="1391"/>
      <c r="Q133" s="1505"/>
      <c r="R133" s="1389"/>
      <c r="S133" s="1395"/>
      <c r="T133" s="1460"/>
      <c r="U133" s="1570"/>
      <c r="V133" s="1464"/>
      <c r="W133" s="1466"/>
      <c r="X133" s="1565"/>
      <c r="Y133" s="1408"/>
      <c r="Z133" s="1565"/>
      <c r="AA133" s="1408"/>
      <c r="AB133" s="1565"/>
      <c r="AC133" s="1408"/>
      <c r="AD133" s="1565"/>
      <c r="AE133" s="1408"/>
      <c r="AF133" s="1408"/>
      <c r="AG133" s="1408"/>
      <c r="AH133" s="1410"/>
      <c r="AI133" s="1412"/>
      <c r="AJ133" s="1578"/>
      <c r="AK133" s="1495"/>
      <c r="AL133" s="1580"/>
      <c r="AM133" s="1586"/>
      <c r="AN133" s="1549"/>
      <c r="AO133" s="1555"/>
      <c r="AP133" s="1553"/>
      <c r="AQ133" s="1555"/>
      <c r="AR133" s="1557"/>
      <c r="AS133" s="1559"/>
      <c r="AT133" s="672" t="str">
        <f t="shared" ref="AT133" si="141">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42"/>
      <c r="AV133" s="1493"/>
      <c r="AW133" s="652" t="str">
        <f>IF('別紙様式2-2（４・５月分）'!O103="","",'別紙様式2-2（４・５月分）'!O103)</f>
        <v/>
      </c>
      <c r="AX133" s="1507"/>
      <c r="AY133" s="673"/>
      <c r="AZ133" s="1321" t="str">
        <f>IF(OR(U133="新加算Ⅰ",U133="新加算Ⅱ",U133="新加算Ⅲ",U133="新加算Ⅳ",U133="新加算Ⅴ（１）",U133="新加算Ⅴ（２）",U133="新加算Ⅴ（３）",U133="新加算ⅠⅤ（４）",U133="新加算Ⅴ（５）",U133="新加算Ⅴ（６）",U133="新加算Ⅴ（８）",U133="新加算Ⅴ（11）"),IF(AJ133="○","","未入力"),"")</f>
        <v/>
      </c>
      <c r="BA133" s="1321" t="str">
        <f>IF(OR(V133="新加算Ⅰ",V133="新加算Ⅱ",V133="新加算Ⅲ",V133="新加算Ⅳ",V133="新加算Ⅴ（１）",V133="新加算Ⅴ（２）",V133="新加算Ⅴ（３）",V133="新加算ⅠⅤ（４）",V133="新加算Ⅴ（５）",V133="新加算Ⅴ（６）",V133="新加算Ⅴ（８）",V133="新加算Ⅴ（11）"),IF(AK133="○","","未入力"),"")</f>
        <v/>
      </c>
      <c r="BB133" s="1321" t="str">
        <f>IF(OR(V133="新加算Ⅴ（７）",V133="新加算Ⅴ（９）",V133="新加算Ⅴ（10）",V133="新加算Ⅴ（12）",V133="新加算Ⅴ（13）",V133="新加算Ⅴ（14）"),IF(AL133="○","","未入力"),"")</f>
        <v/>
      </c>
      <c r="BC133" s="1321" t="str">
        <f>IF(OR(V133="新加算Ⅰ",V133="新加算Ⅱ",V133="新加算Ⅲ",V133="新加算Ⅴ（１）",V133="新加算Ⅴ（３）",V133="新加算Ⅴ（８）"),IF(AM133="○","","未入力"),"")</f>
        <v/>
      </c>
      <c r="BD133" s="1588"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493" t="str">
        <f>IF(AND(U133&lt;&gt;"（参考）令和７年度の移行予定",OR(V133="新加算Ⅰ",V133="新加算Ⅴ（１）",V133="新加算Ⅴ（２）",V133="新加算Ⅴ（５）",V133="新加算Ⅴ（７）",V133="新加算Ⅴ（10）")),IF(AO133="","未入力",IF(AO133="いずれも取得していない","要件を満たさない","")),"")</f>
        <v/>
      </c>
      <c r="BF133" s="1493" t="str">
        <f>G130</f>
        <v/>
      </c>
      <c r="BG133" s="1493"/>
      <c r="BH133" s="1493"/>
    </row>
    <row r="134" spans="1:60" ht="30" customHeight="1">
      <c r="A134" s="1225">
        <v>31</v>
      </c>
      <c r="B134" s="1272" t="str">
        <f>IF(基本情報入力シート!C84="","",基本情報入力シート!C84)</f>
        <v/>
      </c>
      <c r="C134" s="1261"/>
      <c r="D134" s="1261"/>
      <c r="E134" s="1261"/>
      <c r="F134" s="1262"/>
      <c r="G134" s="1266" t="str">
        <f>IF(基本情報入力シート!M84="","",基本情報入力シート!M84)</f>
        <v/>
      </c>
      <c r="H134" s="1266" t="str">
        <f>IF(基本情報入力シート!R84="","",基本情報入力シート!R84)</f>
        <v/>
      </c>
      <c r="I134" s="1266" t="str">
        <f>IF(基本情報入力シート!W84="","",基本情報入力シート!W84)</f>
        <v/>
      </c>
      <c r="J134" s="1372" t="str">
        <f>IF(基本情報入力シート!X84="","",基本情報入力シート!X84)</f>
        <v/>
      </c>
      <c r="K134" s="1266" t="str">
        <f>IF(基本情報入力シート!Y84="","",基本情報入力シート!Y84)</f>
        <v/>
      </c>
      <c r="L134" s="1451" t="str">
        <f>IF(基本情報入力シート!AB84="","",基本情報入力シート!AB84)</f>
        <v/>
      </c>
      <c r="M134" s="1453" t="str">
        <f>IF(基本情報入力シート!AC84="","",基本情報入力シート!AC84)</f>
        <v/>
      </c>
      <c r="N134" s="647" t="str">
        <f>IF('別紙様式2-2（４・５月分）'!Q104="","",'別紙様式2-2（４・５月分）'!Q104)</f>
        <v/>
      </c>
      <c r="O134" s="1366" t="str">
        <f>IF(SUM('別紙様式2-2（４・５月分）'!R104:R106)=0,"",SUM('別紙様式2-2（４・５月分）'!R104:R106))</f>
        <v/>
      </c>
      <c r="P134" s="1380" t="str">
        <f>IFERROR(VLOOKUP('別紙様式2-2（４・５月分）'!AR104,【参考】数式用!$AT$5:$AU$22,2,FALSE),"")</f>
        <v/>
      </c>
      <c r="Q134" s="1381"/>
      <c r="R134" s="1382"/>
      <c r="S134" s="1392" t="str">
        <f>IFERROR(VLOOKUP(K134,【参考】数式用!$A$5:$AB$27,MATCH(P134,【参考】数式用!$B$4:$AB$4,0)+1,0),"")</f>
        <v/>
      </c>
      <c r="T134" s="1413" t="s">
        <v>2258</v>
      </c>
      <c r="U134" s="1562" t="str">
        <f>IF('別紙様式2-3（６月以降分）'!U134="","",'別紙様式2-3（６月以降分）'!U134)</f>
        <v/>
      </c>
      <c r="V134" s="1457" t="str">
        <f>IFERROR(VLOOKUP(K134,【参考】数式用!$A$5:$AB$27,MATCH(U134,【参考】数式用!$B$4:$AB$4,0)+1,0),"")</f>
        <v/>
      </c>
      <c r="W134" s="1350" t="s">
        <v>19</v>
      </c>
      <c r="X134" s="1534">
        <f>'別紙様式2-3（６月以降分）'!X134</f>
        <v>6</v>
      </c>
      <c r="Y134" s="1354" t="s">
        <v>10</v>
      </c>
      <c r="Z134" s="1534">
        <f>'別紙様式2-3（６月以降分）'!Z134</f>
        <v>6</v>
      </c>
      <c r="AA134" s="1354" t="s">
        <v>45</v>
      </c>
      <c r="AB134" s="1534">
        <f>'別紙様式2-3（６月以降分）'!AB134</f>
        <v>7</v>
      </c>
      <c r="AC134" s="1354" t="s">
        <v>10</v>
      </c>
      <c r="AD134" s="1534">
        <f>'別紙様式2-3（６月以降分）'!AD134</f>
        <v>3</v>
      </c>
      <c r="AE134" s="1354" t="s">
        <v>2172</v>
      </c>
      <c r="AF134" s="1354" t="s">
        <v>24</v>
      </c>
      <c r="AG134" s="1354">
        <f>IF(X134&gt;=1,(AB134*12+AD134)-(X134*12+Z134)+1,"")</f>
        <v>10</v>
      </c>
      <c r="AH134" s="1360" t="s">
        <v>38</v>
      </c>
      <c r="AI134" s="1481" t="str">
        <f>'別紙様式2-3（６月以降分）'!AI134</f>
        <v/>
      </c>
      <c r="AJ134" s="1542" t="str">
        <f>'別紙様式2-3（６月以降分）'!AJ134</f>
        <v/>
      </c>
      <c r="AK134" s="1538">
        <f>'別紙様式2-3（６月以降分）'!AK134</f>
        <v>0</v>
      </c>
      <c r="AL134" s="1540" t="str">
        <f>IF('別紙様式2-3（６月以降分）'!AL134="","",'別紙様式2-3（６月以降分）'!AL134)</f>
        <v/>
      </c>
      <c r="AM134" s="1571">
        <f>'別紙様式2-3（６月以降分）'!AM134</f>
        <v>0</v>
      </c>
      <c r="AN134" s="1573" t="str">
        <f>IF('別紙様式2-3（６月以降分）'!AN134="","",'別紙様式2-3（６月以降分）'!AN134)</f>
        <v/>
      </c>
      <c r="AO134" s="1403" t="str">
        <f>IF('別紙様式2-3（６月以降分）'!AO134="","",'別紙様式2-3（６月以降分）'!AO134)</f>
        <v/>
      </c>
      <c r="AP134" s="1502" t="str">
        <f>IF('別紙様式2-3（６月以降分）'!AP134="","",'別紙様式2-3（６月以降分）'!AP134)</f>
        <v/>
      </c>
      <c r="AQ134" s="1403" t="str">
        <f>IF('別紙様式2-3（６月以降分）'!AQ134="","",'別紙様式2-3（６月以降分）'!AQ134)</f>
        <v/>
      </c>
      <c r="AR134" s="1583" t="str">
        <f>IF('別紙様式2-3（６月以降分）'!AR134="","",'別紙様式2-3（６月以降分）'!AR134)</f>
        <v/>
      </c>
      <c r="AS134" s="1536" t="str">
        <f>IF('別紙様式2-3（６月以降分）'!AS134="","",'別紙様式2-3（６月以降分）'!AS134)</f>
        <v/>
      </c>
      <c r="AT134" s="667" t="str">
        <f t="shared" ref="AT134" si="142">IF(AV136="","",IF(V136&lt;V134,"！加算の要件上は問題ありませんが、令和６年度当初の新加算の加算率と比較して、移行後の加算率が下がる計画になっています。",""))</f>
        <v/>
      </c>
      <c r="AU134" s="674"/>
      <c r="AV134" s="1233"/>
      <c r="AW134" s="652" t="str">
        <f>IF('別紙様式2-2（４・５月分）'!O104="","",'別紙様式2-2（４・５月分）'!O104)</f>
        <v/>
      </c>
      <c r="AX134" s="1507" t="str">
        <f>IF(SUM('別紙様式2-2（４・５月分）'!P104:P106)=0,"",SUM('別紙様式2-2（４・５月分）'!P104:P106))</f>
        <v/>
      </c>
      <c r="AY134" s="1590" t="str">
        <f>IFERROR(VLOOKUP(K134,【参考】数式用!$AJ$2:$AK$24,2,FALSE),"")</f>
        <v/>
      </c>
      <c r="AZ134" s="584"/>
      <c r="BE134" s="428"/>
      <c r="BF134" s="1493" t="str">
        <f>G134</f>
        <v/>
      </c>
      <c r="BG134" s="1493"/>
      <c r="BH134" s="1493"/>
    </row>
    <row r="135" spans="1:60" ht="15" customHeight="1">
      <c r="A135" s="1226"/>
      <c r="B135" s="1272"/>
      <c r="C135" s="1261"/>
      <c r="D135" s="1261"/>
      <c r="E135" s="1261"/>
      <c r="F135" s="1262"/>
      <c r="G135" s="1266"/>
      <c r="H135" s="1266"/>
      <c r="I135" s="1266"/>
      <c r="J135" s="1372"/>
      <c r="K135" s="1266"/>
      <c r="L135" s="1451"/>
      <c r="M135" s="1453"/>
      <c r="N135" s="1370" t="str">
        <f>IF('別紙様式2-2（４・５月分）'!Q105="","",'別紙様式2-2（４・５月分）'!Q105)</f>
        <v/>
      </c>
      <c r="O135" s="1367"/>
      <c r="P135" s="1383"/>
      <c r="Q135" s="1384"/>
      <c r="R135" s="1385"/>
      <c r="S135" s="1393"/>
      <c r="T135" s="1414"/>
      <c r="U135" s="1563"/>
      <c r="V135" s="1458"/>
      <c r="W135" s="1351"/>
      <c r="X135" s="1535"/>
      <c r="Y135" s="1355"/>
      <c r="Z135" s="1535"/>
      <c r="AA135" s="1355"/>
      <c r="AB135" s="1535"/>
      <c r="AC135" s="1355"/>
      <c r="AD135" s="1535"/>
      <c r="AE135" s="1355"/>
      <c r="AF135" s="1355"/>
      <c r="AG135" s="1355"/>
      <c r="AH135" s="1361"/>
      <c r="AI135" s="1482"/>
      <c r="AJ135" s="1543"/>
      <c r="AK135" s="1539"/>
      <c r="AL135" s="1541"/>
      <c r="AM135" s="1572"/>
      <c r="AN135" s="1574"/>
      <c r="AO135" s="1404"/>
      <c r="AP135" s="1533"/>
      <c r="AQ135" s="1404"/>
      <c r="AR135" s="1584"/>
      <c r="AS135" s="1537"/>
      <c r="AT135" s="1532" t="str">
        <f t="shared" ref="AT135" si="143">IF(AV136="","",IF(OR(AB136="",AB136&lt;&gt;7,AD136="",AD136&lt;&gt;3),"！算定期間の終わりが令和７年３月になっていません。年度内の廃止予定等がなければ、算定対象月を令和７年３月にしてください。",""))</f>
        <v/>
      </c>
      <c r="AU135" s="674"/>
      <c r="AV135" s="1493"/>
      <c r="AW135" s="1518" t="str">
        <f>IF('別紙様式2-2（４・５月分）'!O105="","",'別紙様式2-2（４・５月分）'!O105)</f>
        <v/>
      </c>
      <c r="AX135" s="1507"/>
      <c r="AY135" s="1589"/>
      <c r="AZ135" s="521"/>
      <c r="BE135" s="428"/>
      <c r="BF135" s="1493" t="str">
        <f>G134</f>
        <v/>
      </c>
      <c r="BG135" s="1493"/>
      <c r="BH135" s="1493"/>
    </row>
    <row r="136" spans="1:60" ht="15" customHeight="1">
      <c r="A136" s="1240"/>
      <c r="B136" s="1272"/>
      <c r="C136" s="1261"/>
      <c r="D136" s="1261"/>
      <c r="E136" s="1261"/>
      <c r="F136" s="1262"/>
      <c r="G136" s="1266"/>
      <c r="H136" s="1266"/>
      <c r="I136" s="1266"/>
      <c r="J136" s="1372"/>
      <c r="K136" s="1266"/>
      <c r="L136" s="1451"/>
      <c r="M136" s="1453"/>
      <c r="N136" s="1371"/>
      <c r="O136" s="1368"/>
      <c r="P136" s="1390" t="s">
        <v>2179</v>
      </c>
      <c r="Q136" s="1504" t="str">
        <f>IFERROR(VLOOKUP('別紙様式2-2（４・５月分）'!AR104,【参考】数式用!$AT$5:$AV$22,3,FALSE),"")</f>
        <v/>
      </c>
      <c r="R136" s="1388" t="s">
        <v>2190</v>
      </c>
      <c r="S136" s="1394" t="str">
        <f>IFERROR(VLOOKUP(K134,【参考】数式用!$A$5:$AB$27,MATCH(Q136,【参考】数式用!$B$4:$AB$4,0)+1,0),"")</f>
        <v/>
      </c>
      <c r="T136" s="1459" t="s">
        <v>2267</v>
      </c>
      <c r="U136" s="1569"/>
      <c r="V136" s="1463" t="str">
        <f>IFERROR(VLOOKUP(K134,【参考】数式用!$A$5:$AB$27,MATCH(U136,【参考】数式用!$B$4:$AB$4,0)+1,0),"")</f>
        <v/>
      </c>
      <c r="W136" s="1465" t="s">
        <v>19</v>
      </c>
      <c r="X136" s="1564"/>
      <c r="Y136" s="1407" t="s">
        <v>10</v>
      </c>
      <c r="Z136" s="1564"/>
      <c r="AA136" s="1407" t="s">
        <v>45</v>
      </c>
      <c r="AB136" s="1564"/>
      <c r="AC136" s="1407" t="s">
        <v>10</v>
      </c>
      <c r="AD136" s="1564"/>
      <c r="AE136" s="1407" t="s">
        <v>2172</v>
      </c>
      <c r="AF136" s="1407" t="s">
        <v>24</v>
      </c>
      <c r="AG136" s="1407" t="str">
        <f>IF(X136&gt;=1,(AB136*12+AD136)-(X136*12+Z136)+1,"")</f>
        <v/>
      </c>
      <c r="AH136" s="1409" t="s">
        <v>38</v>
      </c>
      <c r="AI136" s="1411" t="str">
        <f t="shared" ref="AI136" si="144">IFERROR(ROUNDDOWN(ROUND(L134*V136,0)*M134,0)*AG136,"")</f>
        <v/>
      </c>
      <c r="AJ136" s="1577" t="str">
        <f>IFERROR(ROUNDDOWN(ROUND((L134*(V136-AX134)),0)*M134,0)*AG136,"")</f>
        <v/>
      </c>
      <c r="AK136" s="1494" t="str">
        <f>IFERROR(ROUNDDOWN(ROUNDDOWN(ROUND(L134*VLOOKUP(K134,【参考】数式用!$A$5:$AB$27,MATCH("新加算Ⅳ",【参考】数式用!$B$4:$AB$4,0)+1,0),0)*M134,0)*AG136*0.5,0),"")</f>
        <v/>
      </c>
      <c r="AL136" s="1579"/>
      <c r="AM136" s="1585" t="str">
        <f>IFERROR(IF('別紙様式2-2（４・５月分）'!Q106="ベア加算","", IF(OR(U136="新加算Ⅰ",U136="新加算Ⅱ",U136="新加算Ⅲ",U136="新加算Ⅳ"),ROUNDDOWN(ROUND(L134*VLOOKUP(K134,【参考】数式用!$A$5:$I$27,MATCH("ベア加算",【参考】数式用!$B$4:$I$4,0)+1,0),0)*M134,0)*AG136,"")),"")</f>
        <v/>
      </c>
      <c r="AN136" s="1548"/>
      <c r="AO136" s="1554"/>
      <c r="AP136" s="1552"/>
      <c r="AQ136" s="1554"/>
      <c r="AR136" s="1556"/>
      <c r="AS136" s="1558"/>
      <c r="AT136" s="1532"/>
      <c r="AU136" s="542"/>
      <c r="AV136" s="1493" t="str">
        <f t="shared" ref="AV136" si="145">IF(OR(AB134&lt;&gt;7,AD134&lt;&gt;3),"V列に色付け","")</f>
        <v/>
      </c>
      <c r="AW136" s="1518"/>
      <c r="AX136" s="1507"/>
      <c r="AY136" s="671"/>
      <c r="AZ136" s="1321" t="str">
        <f>IF(AM136&lt;&gt;"",IF(AN136="○","入力済","未入力"),"")</f>
        <v/>
      </c>
      <c r="BA136" s="1321"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321" t="str">
        <f>IF(OR(U136="新加算Ⅴ（７）",U136="新加算Ⅴ（９）",U136="新加算Ⅴ（10）",U136="新加算Ⅴ（12）",U136="新加算Ⅴ（13）",U136="新加算Ⅴ（14）"),IF(OR(AP136="○",AP136="令和６年度中に満たす"),"入力済","未入力"),"")</f>
        <v/>
      </c>
      <c r="BC136" s="1321" t="str">
        <f>IF(OR(U136="新加算Ⅰ",U136="新加算Ⅱ",U136="新加算Ⅲ",U136="新加算Ⅴ（１）",U136="新加算Ⅴ（３）",U136="新加算Ⅴ（８）"),IF(OR(AQ136="○",AQ136="令和６年度中に満たす"),"入力済","未入力"),"")</f>
        <v/>
      </c>
      <c r="BD136" s="1588"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493" t="str">
        <f>IF(OR(U136="新加算Ⅰ",U136="新加算Ⅴ（１）",U136="新加算Ⅴ（２）",U136="新加算Ⅴ（５）",U136="新加算Ⅴ（７）",U136="新加算Ⅴ（10）"),IF(AS136="","未入力","入力済"),"")</f>
        <v/>
      </c>
      <c r="BF136" s="1493" t="str">
        <f>G134</f>
        <v/>
      </c>
      <c r="BG136" s="1493"/>
      <c r="BH136" s="1493"/>
    </row>
    <row r="137" spans="1:60" ht="30" customHeight="1" thickBot="1">
      <c r="A137" s="1227"/>
      <c r="B137" s="1376"/>
      <c r="C137" s="1377"/>
      <c r="D137" s="1377"/>
      <c r="E137" s="1377"/>
      <c r="F137" s="1378"/>
      <c r="G137" s="1267"/>
      <c r="H137" s="1267"/>
      <c r="I137" s="1267"/>
      <c r="J137" s="1373"/>
      <c r="K137" s="1267"/>
      <c r="L137" s="1452"/>
      <c r="M137" s="1454"/>
      <c r="N137" s="650" t="str">
        <f>IF('別紙様式2-2（４・５月分）'!Q106="","",'別紙様式2-2（４・５月分）'!Q106)</f>
        <v/>
      </c>
      <c r="O137" s="1369"/>
      <c r="P137" s="1391"/>
      <c r="Q137" s="1505"/>
      <c r="R137" s="1389"/>
      <c r="S137" s="1395"/>
      <c r="T137" s="1460"/>
      <c r="U137" s="1570"/>
      <c r="V137" s="1464"/>
      <c r="W137" s="1466"/>
      <c r="X137" s="1565"/>
      <c r="Y137" s="1408"/>
      <c r="Z137" s="1565"/>
      <c r="AA137" s="1408"/>
      <c r="AB137" s="1565"/>
      <c r="AC137" s="1408"/>
      <c r="AD137" s="1565"/>
      <c r="AE137" s="1408"/>
      <c r="AF137" s="1408"/>
      <c r="AG137" s="1408"/>
      <c r="AH137" s="1410"/>
      <c r="AI137" s="1412"/>
      <c r="AJ137" s="1578"/>
      <c r="AK137" s="1495"/>
      <c r="AL137" s="1580"/>
      <c r="AM137" s="1586"/>
      <c r="AN137" s="1549"/>
      <c r="AO137" s="1555"/>
      <c r="AP137" s="1553"/>
      <c r="AQ137" s="1555"/>
      <c r="AR137" s="1557"/>
      <c r="AS137" s="1559"/>
      <c r="AT137" s="672" t="str">
        <f t="shared" ref="AT137" si="14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42"/>
      <c r="AV137" s="1493"/>
      <c r="AW137" s="652" t="str">
        <f>IF('別紙様式2-2（４・５月分）'!O106="","",'別紙様式2-2（４・５月分）'!O106)</f>
        <v/>
      </c>
      <c r="AX137" s="1507"/>
      <c r="AY137" s="673"/>
      <c r="AZ137" s="1321" t="str">
        <f>IF(OR(U137="新加算Ⅰ",U137="新加算Ⅱ",U137="新加算Ⅲ",U137="新加算Ⅳ",U137="新加算Ⅴ（１）",U137="新加算Ⅴ（２）",U137="新加算Ⅴ（３）",U137="新加算ⅠⅤ（４）",U137="新加算Ⅴ（５）",U137="新加算Ⅴ（６）",U137="新加算Ⅴ（８）",U137="新加算Ⅴ（11）"),IF(AJ137="○","","未入力"),"")</f>
        <v/>
      </c>
      <c r="BA137" s="1321" t="str">
        <f>IF(OR(V137="新加算Ⅰ",V137="新加算Ⅱ",V137="新加算Ⅲ",V137="新加算Ⅳ",V137="新加算Ⅴ（１）",V137="新加算Ⅴ（２）",V137="新加算Ⅴ（３）",V137="新加算ⅠⅤ（４）",V137="新加算Ⅴ（５）",V137="新加算Ⅴ（６）",V137="新加算Ⅴ（８）",V137="新加算Ⅴ（11）"),IF(AK137="○","","未入力"),"")</f>
        <v/>
      </c>
      <c r="BB137" s="1321" t="str">
        <f>IF(OR(V137="新加算Ⅴ（７）",V137="新加算Ⅴ（９）",V137="新加算Ⅴ（10）",V137="新加算Ⅴ（12）",V137="新加算Ⅴ（13）",V137="新加算Ⅴ（14）"),IF(AL137="○","","未入力"),"")</f>
        <v/>
      </c>
      <c r="BC137" s="1321" t="str">
        <f>IF(OR(V137="新加算Ⅰ",V137="新加算Ⅱ",V137="新加算Ⅲ",V137="新加算Ⅴ（１）",V137="新加算Ⅴ（３）",V137="新加算Ⅴ（８）"),IF(AM137="○","","未入力"),"")</f>
        <v/>
      </c>
      <c r="BD137" s="1588"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493" t="str">
        <f>IF(AND(U137&lt;&gt;"（参考）令和７年度の移行予定",OR(V137="新加算Ⅰ",V137="新加算Ⅴ（１）",V137="新加算Ⅴ（２）",V137="新加算Ⅴ（５）",V137="新加算Ⅴ（７）",V137="新加算Ⅴ（10）")),IF(AO137="","未入力",IF(AO137="いずれも取得していない","要件を満たさない","")),"")</f>
        <v/>
      </c>
      <c r="BF137" s="1493" t="str">
        <f>G134</f>
        <v/>
      </c>
      <c r="BG137" s="1493"/>
      <c r="BH137" s="1493"/>
    </row>
    <row r="138" spans="1:60" ht="30" customHeight="1">
      <c r="A138" s="1241">
        <v>32</v>
      </c>
      <c r="B138" s="1271" t="str">
        <f>IF(基本情報入力シート!C85="","",基本情報入力シート!C85)</f>
        <v/>
      </c>
      <c r="C138" s="1259"/>
      <c r="D138" s="1259"/>
      <c r="E138" s="1259"/>
      <c r="F138" s="1260"/>
      <c r="G138" s="1265" t="str">
        <f>IF(基本情報入力シート!M85="","",基本情報入力シート!M85)</f>
        <v/>
      </c>
      <c r="H138" s="1265" t="str">
        <f>IF(基本情報入力シート!R85="","",基本情報入力シート!R85)</f>
        <v/>
      </c>
      <c r="I138" s="1265" t="str">
        <f>IF(基本情報入力シート!W85="","",基本情報入力シート!W85)</f>
        <v/>
      </c>
      <c r="J138" s="1379" t="str">
        <f>IF(基本情報入力シート!X85="","",基本情報入力シート!X85)</f>
        <v/>
      </c>
      <c r="K138" s="1265" t="str">
        <f>IF(基本情報入力シート!Y85="","",基本情報入力シート!Y85)</f>
        <v/>
      </c>
      <c r="L138" s="1450" t="str">
        <f>IF(基本情報入力シート!AB85="","",基本情報入力シート!AB85)</f>
        <v/>
      </c>
      <c r="M138" s="1447" t="str">
        <f>IF(基本情報入力シート!AC85="","",基本情報入力シート!AC85)</f>
        <v/>
      </c>
      <c r="N138" s="647" t="str">
        <f>IF('別紙様式2-2（４・５月分）'!Q107="","",'別紙様式2-2（４・５月分）'!Q107)</f>
        <v/>
      </c>
      <c r="O138" s="1366" t="str">
        <f>IF(SUM('別紙様式2-2（４・５月分）'!R107:R109)=0,"",SUM('別紙様式2-2（４・５月分）'!R107:R109))</f>
        <v/>
      </c>
      <c r="P138" s="1380" t="str">
        <f>IFERROR(VLOOKUP('別紙様式2-2（４・５月分）'!AR107,【参考】数式用!$AT$5:$AU$22,2,FALSE),"")</f>
        <v/>
      </c>
      <c r="Q138" s="1381"/>
      <c r="R138" s="1382"/>
      <c r="S138" s="1392" t="str">
        <f>IFERROR(VLOOKUP(K138,【参考】数式用!$A$5:$AB$27,MATCH(P138,【参考】数式用!$B$4:$AB$4,0)+1,0),"")</f>
        <v/>
      </c>
      <c r="T138" s="1413" t="s">
        <v>2258</v>
      </c>
      <c r="U138" s="1562" t="str">
        <f>IF('別紙様式2-3（６月以降分）'!U138="","",'別紙様式2-3（６月以降分）'!U138)</f>
        <v/>
      </c>
      <c r="V138" s="1457" t="str">
        <f>IFERROR(VLOOKUP(K138,【参考】数式用!$A$5:$AB$27,MATCH(U138,【参考】数式用!$B$4:$AB$4,0)+1,0),"")</f>
        <v/>
      </c>
      <c r="W138" s="1350" t="s">
        <v>19</v>
      </c>
      <c r="X138" s="1534">
        <f>'別紙様式2-3（６月以降分）'!X138</f>
        <v>6</v>
      </c>
      <c r="Y138" s="1354" t="s">
        <v>10</v>
      </c>
      <c r="Z138" s="1534">
        <f>'別紙様式2-3（６月以降分）'!Z138</f>
        <v>6</v>
      </c>
      <c r="AA138" s="1354" t="s">
        <v>45</v>
      </c>
      <c r="AB138" s="1534">
        <f>'別紙様式2-3（６月以降分）'!AB138</f>
        <v>7</v>
      </c>
      <c r="AC138" s="1354" t="s">
        <v>10</v>
      </c>
      <c r="AD138" s="1534">
        <f>'別紙様式2-3（６月以降分）'!AD138</f>
        <v>3</v>
      </c>
      <c r="AE138" s="1354" t="s">
        <v>2172</v>
      </c>
      <c r="AF138" s="1354" t="s">
        <v>24</v>
      </c>
      <c r="AG138" s="1354">
        <f>IF(X138&gt;=1,(AB138*12+AD138)-(X138*12+Z138)+1,"")</f>
        <v>10</v>
      </c>
      <c r="AH138" s="1360" t="s">
        <v>38</v>
      </c>
      <c r="AI138" s="1481" t="str">
        <f>'別紙様式2-3（６月以降分）'!AI138</f>
        <v/>
      </c>
      <c r="AJ138" s="1542" t="str">
        <f>'別紙様式2-3（６月以降分）'!AJ138</f>
        <v/>
      </c>
      <c r="AK138" s="1538">
        <f>'別紙様式2-3（６月以降分）'!AK138</f>
        <v>0</v>
      </c>
      <c r="AL138" s="1540" t="str">
        <f>IF('別紙様式2-3（６月以降分）'!AL138="","",'別紙様式2-3（６月以降分）'!AL138)</f>
        <v/>
      </c>
      <c r="AM138" s="1571">
        <f>'別紙様式2-3（６月以降分）'!AM138</f>
        <v>0</v>
      </c>
      <c r="AN138" s="1573" t="str">
        <f>IF('別紙様式2-3（６月以降分）'!AN138="","",'別紙様式2-3（６月以降分）'!AN138)</f>
        <v/>
      </c>
      <c r="AO138" s="1403" t="str">
        <f>IF('別紙様式2-3（６月以降分）'!AO138="","",'別紙様式2-3（６月以降分）'!AO138)</f>
        <v/>
      </c>
      <c r="AP138" s="1502" t="str">
        <f>IF('別紙様式2-3（６月以降分）'!AP138="","",'別紙様式2-3（６月以降分）'!AP138)</f>
        <v/>
      </c>
      <c r="AQ138" s="1403" t="str">
        <f>IF('別紙様式2-3（６月以降分）'!AQ138="","",'別紙様式2-3（６月以降分）'!AQ138)</f>
        <v/>
      </c>
      <c r="AR138" s="1583" t="str">
        <f>IF('別紙様式2-3（６月以降分）'!AR138="","",'別紙様式2-3（６月以降分）'!AR138)</f>
        <v/>
      </c>
      <c r="AS138" s="1536" t="str">
        <f>IF('別紙様式2-3（６月以降分）'!AS138="","",'別紙様式2-3（６月以降分）'!AS138)</f>
        <v/>
      </c>
      <c r="AT138" s="667" t="str">
        <f t="shared" ref="AT138" si="147">IF(AV140="","",IF(V140&lt;V138,"！加算の要件上は問題ありませんが、令和６年度当初の新加算の加算率と比較して、移行後の加算率が下がる計画になっています。",""))</f>
        <v/>
      </c>
      <c r="AU138" s="674"/>
      <c r="AV138" s="1233"/>
      <c r="AW138" s="652" t="str">
        <f>IF('別紙様式2-2（４・５月分）'!O107="","",'別紙様式2-2（４・５月分）'!O107)</f>
        <v/>
      </c>
      <c r="AX138" s="1507" t="str">
        <f>IF(SUM('別紙様式2-2（４・５月分）'!P107:P109)=0,"",SUM('別紙様式2-2（４・５月分）'!P107:P109))</f>
        <v/>
      </c>
      <c r="AY138" s="1589" t="str">
        <f>IFERROR(VLOOKUP(K138,【参考】数式用!$AJ$2:$AK$24,2,FALSE),"")</f>
        <v/>
      </c>
      <c r="AZ138" s="584"/>
      <c r="BE138" s="428"/>
      <c r="BF138" s="1493" t="str">
        <f>G138</f>
        <v/>
      </c>
      <c r="BG138" s="1493"/>
      <c r="BH138" s="1493"/>
    </row>
    <row r="139" spans="1:60" ht="15" customHeight="1">
      <c r="A139" s="1226"/>
      <c r="B139" s="1272"/>
      <c r="C139" s="1261"/>
      <c r="D139" s="1261"/>
      <c r="E139" s="1261"/>
      <c r="F139" s="1262"/>
      <c r="G139" s="1266"/>
      <c r="H139" s="1266"/>
      <c r="I139" s="1266"/>
      <c r="J139" s="1372"/>
      <c r="K139" s="1266"/>
      <c r="L139" s="1451"/>
      <c r="M139" s="1448"/>
      <c r="N139" s="1370" t="str">
        <f>IF('別紙様式2-2（４・５月分）'!Q108="","",'別紙様式2-2（４・５月分）'!Q108)</f>
        <v/>
      </c>
      <c r="O139" s="1367"/>
      <c r="P139" s="1383"/>
      <c r="Q139" s="1384"/>
      <c r="R139" s="1385"/>
      <c r="S139" s="1393"/>
      <c r="T139" s="1414"/>
      <c r="U139" s="1563"/>
      <c r="V139" s="1458"/>
      <c r="W139" s="1351"/>
      <c r="X139" s="1535"/>
      <c r="Y139" s="1355"/>
      <c r="Z139" s="1535"/>
      <c r="AA139" s="1355"/>
      <c r="AB139" s="1535"/>
      <c r="AC139" s="1355"/>
      <c r="AD139" s="1535"/>
      <c r="AE139" s="1355"/>
      <c r="AF139" s="1355"/>
      <c r="AG139" s="1355"/>
      <c r="AH139" s="1361"/>
      <c r="AI139" s="1482"/>
      <c r="AJ139" s="1543"/>
      <c r="AK139" s="1539"/>
      <c r="AL139" s="1541"/>
      <c r="AM139" s="1572"/>
      <c r="AN139" s="1574"/>
      <c r="AO139" s="1404"/>
      <c r="AP139" s="1533"/>
      <c r="AQ139" s="1404"/>
      <c r="AR139" s="1584"/>
      <c r="AS139" s="1537"/>
      <c r="AT139" s="1532" t="str">
        <f t="shared" ref="AT139" si="148">IF(AV140="","",IF(OR(AB140="",AB140&lt;&gt;7,AD140="",AD140&lt;&gt;3),"！算定期間の終わりが令和７年３月になっていません。年度内の廃止予定等がなければ、算定対象月を令和７年３月にしてください。",""))</f>
        <v/>
      </c>
      <c r="AU139" s="674"/>
      <c r="AV139" s="1493"/>
      <c r="AW139" s="1518" t="str">
        <f>IF('別紙様式2-2（４・５月分）'!O108="","",'別紙様式2-2（４・５月分）'!O108)</f>
        <v/>
      </c>
      <c r="AX139" s="1507"/>
      <c r="AY139" s="1589"/>
      <c r="AZ139" s="521"/>
      <c r="BE139" s="428"/>
      <c r="BF139" s="1493" t="str">
        <f>G138</f>
        <v/>
      </c>
      <c r="BG139" s="1493"/>
      <c r="BH139" s="1493"/>
    </row>
    <row r="140" spans="1:60" ht="15" customHeight="1">
      <c r="A140" s="1240"/>
      <c r="B140" s="1272"/>
      <c r="C140" s="1261"/>
      <c r="D140" s="1261"/>
      <c r="E140" s="1261"/>
      <c r="F140" s="1262"/>
      <c r="G140" s="1266"/>
      <c r="H140" s="1266"/>
      <c r="I140" s="1266"/>
      <c r="J140" s="1372"/>
      <c r="K140" s="1266"/>
      <c r="L140" s="1451"/>
      <c r="M140" s="1448"/>
      <c r="N140" s="1371"/>
      <c r="O140" s="1368"/>
      <c r="P140" s="1390" t="s">
        <v>2179</v>
      </c>
      <c r="Q140" s="1504" t="str">
        <f>IFERROR(VLOOKUP('別紙様式2-2（４・５月分）'!AR107,【参考】数式用!$AT$5:$AV$22,3,FALSE),"")</f>
        <v/>
      </c>
      <c r="R140" s="1388" t="s">
        <v>2190</v>
      </c>
      <c r="S140" s="1396" t="str">
        <f>IFERROR(VLOOKUP(K138,【参考】数式用!$A$5:$AB$27,MATCH(Q140,【参考】数式用!$B$4:$AB$4,0)+1,0),"")</f>
        <v/>
      </c>
      <c r="T140" s="1459" t="s">
        <v>2267</v>
      </c>
      <c r="U140" s="1569"/>
      <c r="V140" s="1463" t="str">
        <f>IFERROR(VLOOKUP(K138,【参考】数式用!$A$5:$AB$27,MATCH(U140,【参考】数式用!$B$4:$AB$4,0)+1,0),"")</f>
        <v/>
      </c>
      <c r="W140" s="1465" t="s">
        <v>19</v>
      </c>
      <c r="X140" s="1564"/>
      <c r="Y140" s="1407" t="s">
        <v>10</v>
      </c>
      <c r="Z140" s="1564"/>
      <c r="AA140" s="1407" t="s">
        <v>45</v>
      </c>
      <c r="AB140" s="1564"/>
      <c r="AC140" s="1407" t="s">
        <v>10</v>
      </c>
      <c r="AD140" s="1564"/>
      <c r="AE140" s="1407" t="s">
        <v>2172</v>
      </c>
      <c r="AF140" s="1407" t="s">
        <v>24</v>
      </c>
      <c r="AG140" s="1407" t="str">
        <f>IF(X140&gt;=1,(AB140*12+AD140)-(X140*12+Z140)+1,"")</f>
        <v/>
      </c>
      <c r="AH140" s="1409" t="s">
        <v>38</v>
      </c>
      <c r="AI140" s="1411" t="str">
        <f t="shared" ref="AI140" si="149">IFERROR(ROUNDDOWN(ROUND(L138*V140,0)*M138,0)*AG140,"")</f>
        <v/>
      </c>
      <c r="AJ140" s="1577" t="str">
        <f>IFERROR(ROUNDDOWN(ROUND((L138*(V140-AX138)),0)*M138,0)*AG140,"")</f>
        <v/>
      </c>
      <c r="AK140" s="1494" t="str">
        <f>IFERROR(ROUNDDOWN(ROUNDDOWN(ROUND(L138*VLOOKUP(K138,【参考】数式用!$A$5:$AB$27,MATCH("新加算Ⅳ",【参考】数式用!$B$4:$AB$4,0)+1,0),0)*M138,0)*AG140*0.5,0),"")</f>
        <v/>
      </c>
      <c r="AL140" s="1579"/>
      <c r="AM140" s="1585" t="str">
        <f>IFERROR(IF('別紙様式2-2（４・５月分）'!Q109="ベア加算","", IF(OR(U140="新加算Ⅰ",U140="新加算Ⅱ",U140="新加算Ⅲ",U140="新加算Ⅳ"),ROUNDDOWN(ROUND(L138*VLOOKUP(K138,【参考】数式用!$A$5:$I$27,MATCH("ベア加算",【参考】数式用!$B$4:$I$4,0)+1,0),0)*M138,0)*AG140,"")),"")</f>
        <v/>
      </c>
      <c r="AN140" s="1548"/>
      <c r="AO140" s="1554"/>
      <c r="AP140" s="1552"/>
      <c r="AQ140" s="1554"/>
      <c r="AR140" s="1556"/>
      <c r="AS140" s="1558"/>
      <c r="AT140" s="1532"/>
      <c r="AU140" s="542"/>
      <c r="AV140" s="1493" t="str">
        <f t="shared" ref="AV140" si="150">IF(OR(AB138&lt;&gt;7,AD138&lt;&gt;3),"V列に色付け","")</f>
        <v/>
      </c>
      <c r="AW140" s="1518"/>
      <c r="AX140" s="1507"/>
      <c r="AY140" s="671"/>
      <c r="AZ140" s="1321" t="str">
        <f>IF(AM140&lt;&gt;"",IF(AN140="○","入力済","未入力"),"")</f>
        <v/>
      </c>
      <c r="BA140" s="1321"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321" t="str">
        <f>IF(OR(U140="新加算Ⅴ（７）",U140="新加算Ⅴ（９）",U140="新加算Ⅴ（10）",U140="新加算Ⅴ（12）",U140="新加算Ⅴ（13）",U140="新加算Ⅴ（14）"),IF(OR(AP140="○",AP140="令和６年度中に満たす"),"入力済","未入力"),"")</f>
        <v/>
      </c>
      <c r="BC140" s="1321" t="str">
        <f>IF(OR(U140="新加算Ⅰ",U140="新加算Ⅱ",U140="新加算Ⅲ",U140="新加算Ⅴ（１）",U140="新加算Ⅴ（３）",U140="新加算Ⅴ（８）"),IF(OR(AQ140="○",AQ140="令和６年度中に満たす"),"入力済","未入力"),"")</f>
        <v/>
      </c>
      <c r="BD140" s="1588"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493" t="str">
        <f>IF(OR(U140="新加算Ⅰ",U140="新加算Ⅴ（１）",U140="新加算Ⅴ（２）",U140="新加算Ⅴ（５）",U140="新加算Ⅴ（７）",U140="新加算Ⅴ（10）"),IF(AS140="","未入力","入力済"),"")</f>
        <v/>
      </c>
      <c r="BF140" s="1493" t="str">
        <f>G138</f>
        <v/>
      </c>
      <c r="BG140" s="1493"/>
      <c r="BH140" s="1493"/>
    </row>
    <row r="141" spans="1:60" ht="30" customHeight="1" thickBot="1">
      <c r="A141" s="1227"/>
      <c r="B141" s="1376"/>
      <c r="C141" s="1377"/>
      <c r="D141" s="1377"/>
      <c r="E141" s="1377"/>
      <c r="F141" s="1378"/>
      <c r="G141" s="1267"/>
      <c r="H141" s="1267"/>
      <c r="I141" s="1267"/>
      <c r="J141" s="1373"/>
      <c r="K141" s="1267"/>
      <c r="L141" s="1452"/>
      <c r="M141" s="1449"/>
      <c r="N141" s="650" t="str">
        <f>IF('別紙様式2-2（４・５月分）'!Q109="","",'別紙様式2-2（４・５月分）'!Q109)</f>
        <v/>
      </c>
      <c r="O141" s="1369"/>
      <c r="P141" s="1391"/>
      <c r="Q141" s="1505"/>
      <c r="R141" s="1389"/>
      <c r="S141" s="1395"/>
      <c r="T141" s="1460"/>
      <c r="U141" s="1570"/>
      <c r="V141" s="1464"/>
      <c r="W141" s="1466"/>
      <c r="X141" s="1565"/>
      <c r="Y141" s="1408"/>
      <c r="Z141" s="1565"/>
      <c r="AA141" s="1408"/>
      <c r="AB141" s="1565"/>
      <c r="AC141" s="1408"/>
      <c r="AD141" s="1565"/>
      <c r="AE141" s="1408"/>
      <c r="AF141" s="1408"/>
      <c r="AG141" s="1408"/>
      <c r="AH141" s="1410"/>
      <c r="AI141" s="1412"/>
      <c r="AJ141" s="1578"/>
      <c r="AK141" s="1495"/>
      <c r="AL141" s="1580"/>
      <c r="AM141" s="1586"/>
      <c r="AN141" s="1549"/>
      <c r="AO141" s="1555"/>
      <c r="AP141" s="1553"/>
      <c r="AQ141" s="1555"/>
      <c r="AR141" s="1557"/>
      <c r="AS141" s="1559"/>
      <c r="AT141" s="672" t="str">
        <f t="shared" ref="AT141" si="151">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42"/>
      <c r="AV141" s="1493"/>
      <c r="AW141" s="652" t="str">
        <f>IF('別紙様式2-2（４・５月分）'!O109="","",'別紙様式2-2（４・５月分）'!O109)</f>
        <v/>
      </c>
      <c r="AX141" s="1507"/>
      <c r="AY141" s="673"/>
      <c r="AZ141" s="1321" t="str">
        <f>IF(OR(U141="新加算Ⅰ",U141="新加算Ⅱ",U141="新加算Ⅲ",U141="新加算Ⅳ",U141="新加算Ⅴ（１）",U141="新加算Ⅴ（２）",U141="新加算Ⅴ（３）",U141="新加算ⅠⅤ（４）",U141="新加算Ⅴ（５）",U141="新加算Ⅴ（６）",U141="新加算Ⅴ（８）",U141="新加算Ⅴ（11）"),IF(AJ141="○","","未入力"),"")</f>
        <v/>
      </c>
      <c r="BA141" s="1321" t="str">
        <f>IF(OR(V141="新加算Ⅰ",V141="新加算Ⅱ",V141="新加算Ⅲ",V141="新加算Ⅳ",V141="新加算Ⅴ（１）",V141="新加算Ⅴ（２）",V141="新加算Ⅴ（３）",V141="新加算ⅠⅤ（４）",V141="新加算Ⅴ（５）",V141="新加算Ⅴ（６）",V141="新加算Ⅴ（８）",V141="新加算Ⅴ（11）"),IF(AK141="○","","未入力"),"")</f>
        <v/>
      </c>
      <c r="BB141" s="1321" t="str">
        <f>IF(OR(V141="新加算Ⅴ（７）",V141="新加算Ⅴ（９）",V141="新加算Ⅴ（10）",V141="新加算Ⅴ（12）",V141="新加算Ⅴ（13）",V141="新加算Ⅴ（14）"),IF(AL141="○","","未入力"),"")</f>
        <v/>
      </c>
      <c r="BC141" s="1321" t="str">
        <f>IF(OR(V141="新加算Ⅰ",V141="新加算Ⅱ",V141="新加算Ⅲ",V141="新加算Ⅴ（１）",V141="新加算Ⅴ（３）",V141="新加算Ⅴ（８）"),IF(AM141="○","","未入力"),"")</f>
        <v/>
      </c>
      <c r="BD141" s="1588"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493" t="str">
        <f>IF(AND(U141&lt;&gt;"（参考）令和７年度の移行予定",OR(V141="新加算Ⅰ",V141="新加算Ⅴ（１）",V141="新加算Ⅴ（２）",V141="新加算Ⅴ（５）",V141="新加算Ⅴ（７）",V141="新加算Ⅴ（10）")),IF(AO141="","未入力",IF(AO141="いずれも取得していない","要件を満たさない","")),"")</f>
        <v/>
      </c>
      <c r="BF141" s="1493" t="str">
        <f>G138</f>
        <v/>
      </c>
      <c r="BG141" s="1493"/>
      <c r="BH141" s="1493"/>
    </row>
    <row r="142" spans="1:60" ht="30" customHeight="1">
      <c r="A142" s="1225">
        <v>33</v>
      </c>
      <c r="B142" s="1272" t="str">
        <f>IF(基本情報入力シート!C86="","",基本情報入力シート!C86)</f>
        <v/>
      </c>
      <c r="C142" s="1261"/>
      <c r="D142" s="1261"/>
      <c r="E142" s="1261"/>
      <c r="F142" s="1262"/>
      <c r="G142" s="1266" t="str">
        <f>IF(基本情報入力シート!M86="","",基本情報入力シート!M86)</f>
        <v/>
      </c>
      <c r="H142" s="1266" t="str">
        <f>IF(基本情報入力シート!R86="","",基本情報入力シート!R86)</f>
        <v/>
      </c>
      <c r="I142" s="1266" t="str">
        <f>IF(基本情報入力シート!W86="","",基本情報入力シート!W86)</f>
        <v/>
      </c>
      <c r="J142" s="1372" t="str">
        <f>IF(基本情報入力シート!X86="","",基本情報入力シート!X86)</f>
        <v/>
      </c>
      <c r="K142" s="1266" t="str">
        <f>IF(基本情報入力シート!Y86="","",基本情報入力シート!Y86)</f>
        <v/>
      </c>
      <c r="L142" s="1451" t="str">
        <f>IF(基本情報入力シート!AB86="","",基本情報入力シート!AB86)</f>
        <v/>
      </c>
      <c r="M142" s="1453" t="str">
        <f>IF(基本情報入力シート!AC86="","",基本情報入力シート!AC86)</f>
        <v/>
      </c>
      <c r="N142" s="647" t="str">
        <f>IF('別紙様式2-2（４・５月分）'!Q110="","",'別紙様式2-2（４・５月分）'!Q110)</f>
        <v/>
      </c>
      <c r="O142" s="1366" t="str">
        <f>IF(SUM('別紙様式2-2（４・５月分）'!R110:R112)=0,"",SUM('別紙様式2-2（４・５月分）'!R110:R112))</f>
        <v/>
      </c>
      <c r="P142" s="1380" t="str">
        <f>IFERROR(VLOOKUP('別紙様式2-2（４・５月分）'!AR110,【参考】数式用!$AT$5:$AU$22,2,FALSE),"")</f>
        <v/>
      </c>
      <c r="Q142" s="1381"/>
      <c r="R142" s="1382"/>
      <c r="S142" s="1392" t="str">
        <f>IFERROR(VLOOKUP(K142,【参考】数式用!$A$5:$AB$27,MATCH(P142,【参考】数式用!$B$4:$AB$4,0)+1,0),"")</f>
        <v/>
      </c>
      <c r="T142" s="1413" t="s">
        <v>2258</v>
      </c>
      <c r="U142" s="1562" t="str">
        <f>IF('別紙様式2-3（６月以降分）'!U142="","",'別紙様式2-3（６月以降分）'!U142)</f>
        <v/>
      </c>
      <c r="V142" s="1457" t="str">
        <f>IFERROR(VLOOKUP(K142,【参考】数式用!$A$5:$AB$27,MATCH(U142,【参考】数式用!$B$4:$AB$4,0)+1,0),"")</f>
        <v/>
      </c>
      <c r="W142" s="1350" t="s">
        <v>19</v>
      </c>
      <c r="X142" s="1534">
        <f>'別紙様式2-3（６月以降分）'!X142</f>
        <v>6</v>
      </c>
      <c r="Y142" s="1354" t="s">
        <v>10</v>
      </c>
      <c r="Z142" s="1534">
        <f>'別紙様式2-3（６月以降分）'!Z142</f>
        <v>6</v>
      </c>
      <c r="AA142" s="1354" t="s">
        <v>45</v>
      </c>
      <c r="AB142" s="1534">
        <f>'別紙様式2-3（６月以降分）'!AB142</f>
        <v>7</v>
      </c>
      <c r="AC142" s="1354" t="s">
        <v>10</v>
      </c>
      <c r="AD142" s="1534">
        <f>'別紙様式2-3（６月以降分）'!AD142</f>
        <v>3</v>
      </c>
      <c r="AE142" s="1354" t="s">
        <v>2172</v>
      </c>
      <c r="AF142" s="1354" t="s">
        <v>24</v>
      </c>
      <c r="AG142" s="1354">
        <f>IF(X142&gt;=1,(AB142*12+AD142)-(X142*12+Z142)+1,"")</f>
        <v>10</v>
      </c>
      <c r="AH142" s="1360" t="s">
        <v>38</v>
      </c>
      <c r="AI142" s="1481" t="str">
        <f>'別紙様式2-3（６月以降分）'!AI142</f>
        <v/>
      </c>
      <c r="AJ142" s="1542" t="str">
        <f>'別紙様式2-3（６月以降分）'!AJ142</f>
        <v/>
      </c>
      <c r="AK142" s="1538">
        <f>'別紙様式2-3（６月以降分）'!AK142</f>
        <v>0</v>
      </c>
      <c r="AL142" s="1540" t="str">
        <f>IF('別紙様式2-3（６月以降分）'!AL142="","",'別紙様式2-3（６月以降分）'!AL142)</f>
        <v/>
      </c>
      <c r="AM142" s="1571">
        <f>'別紙様式2-3（６月以降分）'!AM142</f>
        <v>0</v>
      </c>
      <c r="AN142" s="1573" t="str">
        <f>IF('別紙様式2-3（６月以降分）'!AN142="","",'別紙様式2-3（６月以降分）'!AN142)</f>
        <v/>
      </c>
      <c r="AO142" s="1403" t="str">
        <f>IF('別紙様式2-3（６月以降分）'!AO142="","",'別紙様式2-3（６月以降分）'!AO142)</f>
        <v/>
      </c>
      <c r="AP142" s="1502" t="str">
        <f>IF('別紙様式2-3（６月以降分）'!AP142="","",'別紙様式2-3（６月以降分）'!AP142)</f>
        <v/>
      </c>
      <c r="AQ142" s="1403" t="str">
        <f>IF('別紙様式2-3（６月以降分）'!AQ142="","",'別紙様式2-3（６月以降分）'!AQ142)</f>
        <v/>
      </c>
      <c r="AR142" s="1583" t="str">
        <f>IF('別紙様式2-3（６月以降分）'!AR142="","",'別紙様式2-3（６月以降分）'!AR142)</f>
        <v/>
      </c>
      <c r="AS142" s="1536" t="str">
        <f>IF('別紙様式2-3（６月以降分）'!AS142="","",'別紙様式2-3（６月以降分）'!AS142)</f>
        <v/>
      </c>
      <c r="AT142" s="667" t="str">
        <f t="shared" ref="AT142" si="152">IF(AV144="","",IF(V144&lt;V142,"！加算の要件上は問題ありませんが、令和６年度当初の新加算の加算率と比較して、移行後の加算率が下がる計画になっています。",""))</f>
        <v/>
      </c>
      <c r="AU142" s="674"/>
      <c r="AV142" s="1233"/>
      <c r="AW142" s="652" t="str">
        <f>IF('別紙様式2-2（４・５月分）'!O110="","",'別紙様式2-2（４・５月分）'!O110)</f>
        <v/>
      </c>
      <c r="AX142" s="1507" t="str">
        <f>IF(SUM('別紙様式2-2（４・５月分）'!P110:P112)=0,"",SUM('別紙様式2-2（４・５月分）'!P110:P112))</f>
        <v/>
      </c>
      <c r="AY142" s="1590" t="str">
        <f>IFERROR(VLOOKUP(K142,【参考】数式用!$AJ$2:$AK$24,2,FALSE),"")</f>
        <v/>
      </c>
      <c r="AZ142" s="584"/>
      <c r="BE142" s="428"/>
      <c r="BF142" s="1493" t="str">
        <f>G142</f>
        <v/>
      </c>
      <c r="BG142" s="1493"/>
      <c r="BH142" s="1493"/>
    </row>
    <row r="143" spans="1:60" ht="15" customHeight="1">
      <c r="A143" s="1226"/>
      <c r="B143" s="1272"/>
      <c r="C143" s="1261"/>
      <c r="D143" s="1261"/>
      <c r="E143" s="1261"/>
      <c r="F143" s="1262"/>
      <c r="G143" s="1266"/>
      <c r="H143" s="1266"/>
      <c r="I143" s="1266"/>
      <c r="J143" s="1372"/>
      <c r="K143" s="1266"/>
      <c r="L143" s="1451"/>
      <c r="M143" s="1453"/>
      <c r="N143" s="1370" t="str">
        <f>IF('別紙様式2-2（４・５月分）'!Q111="","",'別紙様式2-2（４・５月分）'!Q111)</f>
        <v/>
      </c>
      <c r="O143" s="1367"/>
      <c r="P143" s="1383"/>
      <c r="Q143" s="1384"/>
      <c r="R143" s="1385"/>
      <c r="S143" s="1393"/>
      <c r="T143" s="1414"/>
      <c r="U143" s="1563"/>
      <c r="V143" s="1458"/>
      <c r="W143" s="1351"/>
      <c r="X143" s="1535"/>
      <c r="Y143" s="1355"/>
      <c r="Z143" s="1535"/>
      <c r="AA143" s="1355"/>
      <c r="AB143" s="1535"/>
      <c r="AC143" s="1355"/>
      <c r="AD143" s="1535"/>
      <c r="AE143" s="1355"/>
      <c r="AF143" s="1355"/>
      <c r="AG143" s="1355"/>
      <c r="AH143" s="1361"/>
      <c r="AI143" s="1482"/>
      <c r="AJ143" s="1543"/>
      <c r="AK143" s="1539"/>
      <c r="AL143" s="1541"/>
      <c r="AM143" s="1572"/>
      <c r="AN143" s="1574"/>
      <c r="AO143" s="1404"/>
      <c r="AP143" s="1533"/>
      <c r="AQ143" s="1404"/>
      <c r="AR143" s="1584"/>
      <c r="AS143" s="1537"/>
      <c r="AT143" s="1532" t="str">
        <f t="shared" ref="AT143" si="153">IF(AV144="","",IF(OR(AB144="",AB144&lt;&gt;7,AD144="",AD144&lt;&gt;3),"！算定期間の終わりが令和７年３月になっていません。年度内の廃止予定等がなければ、算定対象月を令和７年３月にしてください。",""))</f>
        <v/>
      </c>
      <c r="AU143" s="674"/>
      <c r="AV143" s="1493"/>
      <c r="AW143" s="1518" t="str">
        <f>IF('別紙様式2-2（４・５月分）'!O111="","",'別紙様式2-2（４・５月分）'!O111)</f>
        <v/>
      </c>
      <c r="AX143" s="1507"/>
      <c r="AY143" s="1589"/>
      <c r="AZ143" s="521"/>
      <c r="BE143" s="428"/>
      <c r="BF143" s="1493" t="str">
        <f>G142</f>
        <v/>
      </c>
      <c r="BG143" s="1493"/>
      <c r="BH143" s="1493"/>
    </row>
    <row r="144" spans="1:60" ht="15" customHeight="1">
      <c r="A144" s="1240"/>
      <c r="B144" s="1272"/>
      <c r="C144" s="1261"/>
      <c r="D144" s="1261"/>
      <c r="E144" s="1261"/>
      <c r="F144" s="1262"/>
      <c r="G144" s="1266"/>
      <c r="H144" s="1266"/>
      <c r="I144" s="1266"/>
      <c r="J144" s="1372"/>
      <c r="K144" s="1266"/>
      <c r="L144" s="1451"/>
      <c r="M144" s="1453"/>
      <c r="N144" s="1371"/>
      <c r="O144" s="1368"/>
      <c r="P144" s="1390" t="s">
        <v>2179</v>
      </c>
      <c r="Q144" s="1504" t="str">
        <f>IFERROR(VLOOKUP('別紙様式2-2（４・５月分）'!AR110,【参考】数式用!$AT$5:$AV$22,3,FALSE),"")</f>
        <v/>
      </c>
      <c r="R144" s="1388" t="s">
        <v>2190</v>
      </c>
      <c r="S144" s="1394" t="str">
        <f>IFERROR(VLOOKUP(K142,【参考】数式用!$A$5:$AB$27,MATCH(Q144,【参考】数式用!$B$4:$AB$4,0)+1,0),"")</f>
        <v/>
      </c>
      <c r="T144" s="1459" t="s">
        <v>2267</v>
      </c>
      <c r="U144" s="1569"/>
      <c r="V144" s="1463" t="str">
        <f>IFERROR(VLOOKUP(K142,【参考】数式用!$A$5:$AB$27,MATCH(U144,【参考】数式用!$B$4:$AB$4,0)+1,0),"")</f>
        <v/>
      </c>
      <c r="W144" s="1465" t="s">
        <v>19</v>
      </c>
      <c r="X144" s="1564"/>
      <c r="Y144" s="1407" t="s">
        <v>10</v>
      </c>
      <c r="Z144" s="1564"/>
      <c r="AA144" s="1407" t="s">
        <v>45</v>
      </c>
      <c r="AB144" s="1564"/>
      <c r="AC144" s="1407" t="s">
        <v>10</v>
      </c>
      <c r="AD144" s="1564"/>
      <c r="AE144" s="1407" t="s">
        <v>2172</v>
      </c>
      <c r="AF144" s="1407" t="s">
        <v>24</v>
      </c>
      <c r="AG144" s="1407" t="str">
        <f>IF(X144&gt;=1,(AB144*12+AD144)-(X144*12+Z144)+1,"")</f>
        <v/>
      </c>
      <c r="AH144" s="1409" t="s">
        <v>38</v>
      </c>
      <c r="AI144" s="1411" t="str">
        <f t="shared" ref="AI144" si="154">IFERROR(ROUNDDOWN(ROUND(L142*V144,0)*M142,0)*AG144,"")</f>
        <v/>
      </c>
      <c r="AJ144" s="1577" t="str">
        <f>IFERROR(ROUNDDOWN(ROUND((L142*(V144-AX142)),0)*M142,0)*AG144,"")</f>
        <v/>
      </c>
      <c r="AK144" s="1494" t="str">
        <f>IFERROR(ROUNDDOWN(ROUNDDOWN(ROUND(L142*VLOOKUP(K142,【参考】数式用!$A$5:$AB$27,MATCH("新加算Ⅳ",【参考】数式用!$B$4:$AB$4,0)+1,0),0)*M142,0)*AG144*0.5,0),"")</f>
        <v/>
      </c>
      <c r="AL144" s="1579"/>
      <c r="AM144" s="1585" t="str">
        <f>IFERROR(IF('別紙様式2-2（４・５月分）'!Q112="ベア加算","", IF(OR(U144="新加算Ⅰ",U144="新加算Ⅱ",U144="新加算Ⅲ",U144="新加算Ⅳ"),ROUNDDOWN(ROUND(L142*VLOOKUP(K142,【参考】数式用!$A$5:$I$27,MATCH("ベア加算",【参考】数式用!$B$4:$I$4,0)+1,0),0)*M142,0)*AG144,"")),"")</f>
        <v/>
      </c>
      <c r="AN144" s="1548"/>
      <c r="AO144" s="1554"/>
      <c r="AP144" s="1552"/>
      <c r="AQ144" s="1554"/>
      <c r="AR144" s="1556"/>
      <c r="AS144" s="1558"/>
      <c r="AT144" s="1532"/>
      <c r="AU144" s="542"/>
      <c r="AV144" s="1493" t="str">
        <f t="shared" ref="AV144" si="155">IF(OR(AB142&lt;&gt;7,AD142&lt;&gt;3),"V列に色付け","")</f>
        <v/>
      </c>
      <c r="AW144" s="1518"/>
      <c r="AX144" s="1507"/>
      <c r="AY144" s="671"/>
      <c r="AZ144" s="1321" t="str">
        <f>IF(AM144&lt;&gt;"",IF(AN144="○","入力済","未入力"),"")</f>
        <v/>
      </c>
      <c r="BA144" s="1321"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321" t="str">
        <f>IF(OR(U144="新加算Ⅴ（７）",U144="新加算Ⅴ（９）",U144="新加算Ⅴ（10）",U144="新加算Ⅴ（12）",U144="新加算Ⅴ（13）",U144="新加算Ⅴ（14）"),IF(OR(AP144="○",AP144="令和６年度中に満たす"),"入力済","未入力"),"")</f>
        <v/>
      </c>
      <c r="BC144" s="1321" t="str">
        <f>IF(OR(U144="新加算Ⅰ",U144="新加算Ⅱ",U144="新加算Ⅲ",U144="新加算Ⅴ（１）",U144="新加算Ⅴ（３）",U144="新加算Ⅴ（８）"),IF(OR(AQ144="○",AQ144="令和６年度中に満たす"),"入力済","未入力"),"")</f>
        <v/>
      </c>
      <c r="BD144" s="1588"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493" t="str">
        <f>IF(OR(U144="新加算Ⅰ",U144="新加算Ⅴ（１）",U144="新加算Ⅴ（２）",U144="新加算Ⅴ（５）",U144="新加算Ⅴ（７）",U144="新加算Ⅴ（10）"),IF(AS144="","未入力","入力済"),"")</f>
        <v/>
      </c>
      <c r="BF144" s="1493" t="str">
        <f>G142</f>
        <v/>
      </c>
      <c r="BG144" s="1493"/>
      <c r="BH144" s="1493"/>
    </row>
    <row r="145" spans="1:60" ht="30" customHeight="1" thickBot="1">
      <c r="A145" s="1227"/>
      <c r="B145" s="1376"/>
      <c r="C145" s="1377"/>
      <c r="D145" s="1377"/>
      <c r="E145" s="1377"/>
      <c r="F145" s="1378"/>
      <c r="G145" s="1267"/>
      <c r="H145" s="1267"/>
      <c r="I145" s="1267"/>
      <c r="J145" s="1373"/>
      <c r="K145" s="1267"/>
      <c r="L145" s="1452"/>
      <c r="M145" s="1454"/>
      <c r="N145" s="650" t="str">
        <f>IF('別紙様式2-2（４・５月分）'!Q112="","",'別紙様式2-2（４・５月分）'!Q112)</f>
        <v/>
      </c>
      <c r="O145" s="1369"/>
      <c r="P145" s="1391"/>
      <c r="Q145" s="1505"/>
      <c r="R145" s="1389"/>
      <c r="S145" s="1395"/>
      <c r="T145" s="1460"/>
      <c r="U145" s="1570"/>
      <c r="V145" s="1464"/>
      <c r="W145" s="1466"/>
      <c r="X145" s="1565"/>
      <c r="Y145" s="1408"/>
      <c r="Z145" s="1565"/>
      <c r="AA145" s="1408"/>
      <c r="AB145" s="1565"/>
      <c r="AC145" s="1408"/>
      <c r="AD145" s="1565"/>
      <c r="AE145" s="1408"/>
      <c r="AF145" s="1408"/>
      <c r="AG145" s="1408"/>
      <c r="AH145" s="1410"/>
      <c r="AI145" s="1412"/>
      <c r="AJ145" s="1578"/>
      <c r="AK145" s="1495"/>
      <c r="AL145" s="1580"/>
      <c r="AM145" s="1586"/>
      <c r="AN145" s="1549"/>
      <c r="AO145" s="1555"/>
      <c r="AP145" s="1553"/>
      <c r="AQ145" s="1555"/>
      <c r="AR145" s="1557"/>
      <c r="AS145" s="1559"/>
      <c r="AT145" s="672" t="str">
        <f t="shared" ref="AT145" si="156">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42"/>
      <c r="AV145" s="1493"/>
      <c r="AW145" s="652" t="str">
        <f>IF('別紙様式2-2（４・５月分）'!O112="","",'別紙様式2-2（４・５月分）'!O112)</f>
        <v/>
      </c>
      <c r="AX145" s="1507"/>
      <c r="AY145" s="673"/>
      <c r="AZ145" s="1321" t="str">
        <f>IF(OR(U145="新加算Ⅰ",U145="新加算Ⅱ",U145="新加算Ⅲ",U145="新加算Ⅳ",U145="新加算Ⅴ（１）",U145="新加算Ⅴ（２）",U145="新加算Ⅴ（３）",U145="新加算ⅠⅤ（４）",U145="新加算Ⅴ（５）",U145="新加算Ⅴ（６）",U145="新加算Ⅴ（８）",U145="新加算Ⅴ（11）"),IF(AJ145="○","","未入力"),"")</f>
        <v/>
      </c>
      <c r="BA145" s="1321" t="str">
        <f>IF(OR(V145="新加算Ⅰ",V145="新加算Ⅱ",V145="新加算Ⅲ",V145="新加算Ⅳ",V145="新加算Ⅴ（１）",V145="新加算Ⅴ（２）",V145="新加算Ⅴ（３）",V145="新加算ⅠⅤ（４）",V145="新加算Ⅴ（５）",V145="新加算Ⅴ（６）",V145="新加算Ⅴ（８）",V145="新加算Ⅴ（11）"),IF(AK145="○","","未入力"),"")</f>
        <v/>
      </c>
      <c r="BB145" s="1321" t="str">
        <f>IF(OR(V145="新加算Ⅴ（７）",V145="新加算Ⅴ（９）",V145="新加算Ⅴ（10）",V145="新加算Ⅴ（12）",V145="新加算Ⅴ（13）",V145="新加算Ⅴ（14）"),IF(AL145="○","","未入力"),"")</f>
        <v/>
      </c>
      <c r="BC145" s="1321" t="str">
        <f>IF(OR(V145="新加算Ⅰ",V145="新加算Ⅱ",V145="新加算Ⅲ",V145="新加算Ⅴ（１）",V145="新加算Ⅴ（３）",V145="新加算Ⅴ（８）"),IF(AM145="○","","未入力"),"")</f>
        <v/>
      </c>
      <c r="BD145" s="1588"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493" t="str">
        <f>IF(AND(U145&lt;&gt;"（参考）令和７年度の移行予定",OR(V145="新加算Ⅰ",V145="新加算Ⅴ（１）",V145="新加算Ⅴ（２）",V145="新加算Ⅴ（５）",V145="新加算Ⅴ（７）",V145="新加算Ⅴ（10）")),IF(AO145="","未入力",IF(AO145="いずれも取得していない","要件を満たさない","")),"")</f>
        <v/>
      </c>
      <c r="BF145" s="1493" t="str">
        <f>G142</f>
        <v/>
      </c>
      <c r="BG145" s="1493"/>
      <c r="BH145" s="1493"/>
    </row>
    <row r="146" spans="1:60" ht="30" customHeight="1">
      <c r="A146" s="1241">
        <v>34</v>
      </c>
      <c r="B146" s="1271" t="str">
        <f>IF(基本情報入力シート!C87="","",基本情報入力シート!C87)</f>
        <v/>
      </c>
      <c r="C146" s="1259"/>
      <c r="D146" s="1259"/>
      <c r="E146" s="1259"/>
      <c r="F146" s="1260"/>
      <c r="G146" s="1265" t="str">
        <f>IF(基本情報入力シート!M87="","",基本情報入力シート!M87)</f>
        <v/>
      </c>
      <c r="H146" s="1265" t="str">
        <f>IF(基本情報入力シート!R87="","",基本情報入力シート!R87)</f>
        <v/>
      </c>
      <c r="I146" s="1265" t="str">
        <f>IF(基本情報入力シート!W87="","",基本情報入力シート!W87)</f>
        <v/>
      </c>
      <c r="J146" s="1379" t="str">
        <f>IF(基本情報入力シート!X87="","",基本情報入力シート!X87)</f>
        <v/>
      </c>
      <c r="K146" s="1265" t="str">
        <f>IF(基本情報入力シート!Y87="","",基本情報入力シート!Y87)</f>
        <v/>
      </c>
      <c r="L146" s="1450" t="str">
        <f>IF(基本情報入力シート!AB87="","",基本情報入力シート!AB87)</f>
        <v/>
      </c>
      <c r="M146" s="1447" t="str">
        <f>IF(基本情報入力シート!AC87="","",基本情報入力シート!AC87)</f>
        <v/>
      </c>
      <c r="N146" s="647" t="str">
        <f>IF('別紙様式2-2（４・５月分）'!Q113="","",'別紙様式2-2（４・５月分）'!Q113)</f>
        <v/>
      </c>
      <c r="O146" s="1366" t="str">
        <f>IF(SUM('別紙様式2-2（４・５月分）'!R113:R115)=0,"",SUM('別紙様式2-2（４・５月分）'!R113:R115))</f>
        <v/>
      </c>
      <c r="P146" s="1380" t="str">
        <f>IFERROR(VLOOKUP('別紙様式2-2（４・５月分）'!AR113,【参考】数式用!$AT$5:$AU$22,2,FALSE),"")</f>
        <v/>
      </c>
      <c r="Q146" s="1381"/>
      <c r="R146" s="1382"/>
      <c r="S146" s="1392" t="str">
        <f>IFERROR(VLOOKUP(K146,【参考】数式用!$A$5:$AB$27,MATCH(P146,【参考】数式用!$B$4:$AB$4,0)+1,0),"")</f>
        <v/>
      </c>
      <c r="T146" s="1413" t="s">
        <v>2258</v>
      </c>
      <c r="U146" s="1562" t="str">
        <f>IF('別紙様式2-3（６月以降分）'!U146="","",'別紙様式2-3（６月以降分）'!U146)</f>
        <v/>
      </c>
      <c r="V146" s="1457" t="str">
        <f>IFERROR(VLOOKUP(K146,【参考】数式用!$A$5:$AB$27,MATCH(U146,【参考】数式用!$B$4:$AB$4,0)+1,0),"")</f>
        <v/>
      </c>
      <c r="W146" s="1350" t="s">
        <v>19</v>
      </c>
      <c r="X146" s="1534">
        <f>'別紙様式2-3（６月以降分）'!X146</f>
        <v>6</v>
      </c>
      <c r="Y146" s="1354" t="s">
        <v>10</v>
      </c>
      <c r="Z146" s="1534">
        <f>'別紙様式2-3（６月以降分）'!Z146</f>
        <v>6</v>
      </c>
      <c r="AA146" s="1354" t="s">
        <v>45</v>
      </c>
      <c r="AB146" s="1534">
        <f>'別紙様式2-3（６月以降分）'!AB146</f>
        <v>7</v>
      </c>
      <c r="AC146" s="1354" t="s">
        <v>10</v>
      </c>
      <c r="AD146" s="1534">
        <f>'別紙様式2-3（６月以降分）'!AD146</f>
        <v>3</v>
      </c>
      <c r="AE146" s="1354" t="s">
        <v>2172</v>
      </c>
      <c r="AF146" s="1354" t="s">
        <v>24</v>
      </c>
      <c r="AG146" s="1354">
        <f>IF(X146&gt;=1,(AB146*12+AD146)-(X146*12+Z146)+1,"")</f>
        <v>10</v>
      </c>
      <c r="AH146" s="1360" t="s">
        <v>38</v>
      </c>
      <c r="AI146" s="1481" t="str">
        <f>'別紙様式2-3（６月以降分）'!AI146</f>
        <v/>
      </c>
      <c r="AJ146" s="1542" t="str">
        <f>'別紙様式2-3（６月以降分）'!AJ146</f>
        <v/>
      </c>
      <c r="AK146" s="1538">
        <f>'別紙様式2-3（６月以降分）'!AK146</f>
        <v>0</v>
      </c>
      <c r="AL146" s="1540" t="str">
        <f>IF('別紙様式2-3（６月以降分）'!AL146="","",'別紙様式2-3（６月以降分）'!AL146)</f>
        <v/>
      </c>
      <c r="AM146" s="1571">
        <f>'別紙様式2-3（６月以降分）'!AM146</f>
        <v>0</v>
      </c>
      <c r="AN146" s="1573" t="str">
        <f>IF('別紙様式2-3（６月以降分）'!AN146="","",'別紙様式2-3（６月以降分）'!AN146)</f>
        <v/>
      </c>
      <c r="AO146" s="1403" t="str">
        <f>IF('別紙様式2-3（６月以降分）'!AO146="","",'別紙様式2-3（６月以降分）'!AO146)</f>
        <v/>
      </c>
      <c r="AP146" s="1502" t="str">
        <f>IF('別紙様式2-3（６月以降分）'!AP146="","",'別紙様式2-3（６月以降分）'!AP146)</f>
        <v/>
      </c>
      <c r="AQ146" s="1403" t="str">
        <f>IF('別紙様式2-3（６月以降分）'!AQ146="","",'別紙様式2-3（６月以降分）'!AQ146)</f>
        <v/>
      </c>
      <c r="AR146" s="1583" t="str">
        <f>IF('別紙様式2-3（６月以降分）'!AR146="","",'別紙様式2-3（６月以降分）'!AR146)</f>
        <v/>
      </c>
      <c r="AS146" s="1536" t="str">
        <f>IF('別紙様式2-3（６月以降分）'!AS146="","",'別紙様式2-3（６月以降分）'!AS146)</f>
        <v/>
      </c>
      <c r="AT146" s="667" t="str">
        <f t="shared" ref="AT146" si="157">IF(AV148="","",IF(V148&lt;V146,"！加算の要件上は問題ありませんが、令和６年度当初の新加算の加算率と比較して、移行後の加算率が下がる計画になっています。",""))</f>
        <v/>
      </c>
      <c r="AU146" s="674"/>
      <c r="AV146" s="1233"/>
      <c r="AW146" s="652" t="str">
        <f>IF('別紙様式2-2（４・５月分）'!O113="","",'別紙様式2-2（４・５月分）'!O113)</f>
        <v/>
      </c>
      <c r="AX146" s="1507" t="str">
        <f>IF(SUM('別紙様式2-2（４・５月分）'!P113:P115)=0,"",SUM('別紙様式2-2（４・５月分）'!P113:P115))</f>
        <v/>
      </c>
      <c r="AY146" s="1589" t="str">
        <f>IFERROR(VLOOKUP(K146,【参考】数式用!$AJ$2:$AK$24,2,FALSE),"")</f>
        <v/>
      </c>
      <c r="AZ146" s="584"/>
      <c r="BE146" s="428"/>
      <c r="BF146" s="1493" t="str">
        <f>G146</f>
        <v/>
      </c>
      <c r="BG146" s="1493"/>
      <c r="BH146" s="1493"/>
    </row>
    <row r="147" spans="1:60" ht="15" customHeight="1">
      <c r="A147" s="1226"/>
      <c r="B147" s="1272"/>
      <c r="C147" s="1261"/>
      <c r="D147" s="1261"/>
      <c r="E147" s="1261"/>
      <c r="F147" s="1262"/>
      <c r="G147" s="1266"/>
      <c r="H147" s="1266"/>
      <c r="I147" s="1266"/>
      <c r="J147" s="1372"/>
      <c r="K147" s="1266"/>
      <c r="L147" s="1451"/>
      <c r="M147" s="1448"/>
      <c r="N147" s="1370" t="str">
        <f>IF('別紙様式2-2（４・５月分）'!Q114="","",'別紙様式2-2（４・５月分）'!Q114)</f>
        <v/>
      </c>
      <c r="O147" s="1367"/>
      <c r="P147" s="1383"/>
      <c r="Q147" s="1384"/>
      <c r="R147" s="1385"/>
      <c r="S147" s="1393"/>
      <c r="T147" s="1414"/>
      <c r="U147" s="1563"/>
      <c r="V147" s="1458"/>
      <c r="W147" s="1351"/>
      <c r="X147" s="1535"/>
      <c r="Y147" s="1355"/>
      <c r="Z147" s="1535"/>
      <c r="AA147" s="1355"/>
      <c r="AB147" s="1535"/>
      <c r="AC147" s="1355"/>
      <c r="AD147" s="1535"/>
      <c r="AE147" s="1355"/>
      <c r="AF147" s="1355"/>
      <c r="AG147" s="1355"/>
      <c r="AH147" s="1361"/>
      <c r="AI147" s="1482"/>
      <c r="AJ147" s="1543"/>
      <c r="AK147" s="1539"/>
      <c r="AL147" s="1541"/>
      <c r="AM147" s="1572"/>
      <c r="AN147" s="1574"/>
      <c r="AO147" s="1404"/>
      <c r="AP147" s="1533"/>
      <c r="AQ147" s="1404"/>
      <c r="AR147" s="1584"/>
      <c r="AS147" s="1537"/>
      <c r="AT147" s="1532" t="str">
        <f t="shared" ref="AT147" si="158">IF(AV148="","",IF(OR(AB148="",AB148&lt;&gt;7,AD148="",AD148&lt;&gt;3),"！算定期間の終わりが令和７年３月になっていません。年度内の廃止予定等がなければ、算定対象月を令和７年３月にしてください。",""))</f>
        <v/>
      </c>
      <c r="AU147" s="674"/>
      <c r="AV147" s="1493"/>
      <c r="AW147" s="1518" t="str">
        <f>IF('別紙様式2-2（４・５月分）'!O114="","",'別紙様式2-2（４・５月分）'!O114)</f>
        <v/>
      </c>
      <c r="AX147" s="1507"/>
      <c r="AY147" s="1589"/>
      <c r="AZ147" s="521"/>
      <c r="BE147" s="428"/>
      <c r="BF147" s="1493" t="str">
        <f>G146</f>
        <v/>
      </c>
      <c r="BG147" s="1493"/>
      <c r="BH147" s="1493"/>
    </row>
    <row r="148" spans="1:60" ht="15" customHeight="1">
      <c r="A148" s="1240"/>
      <c r="B148" s="1272"/>
      <c r="C148" s="1261"/>
      <c r="D148" s="1261"/>
      <c r="E148" s="1261"/>
      <c r="F148" s="1262"/>
      <c r="G148" s="1266"/>
      <c r="H148" s="1266"/>
      <c r="I148" s="1266"/>
      <c r="J148" s="1372"/>
      <c r="K148" s="1266"/>
      <c r="L148" s="1451"/>
      <c r="M148" s="1448"/>
      <c r="N148" s="1371"/>
      <c r="O148" s="1368"/>
      <c r="P148" s="1390" t="s">
        <v>2179</v>
      </c>
      <c r="Q148" s="1504" t="str">
        <f>IFERROR(VLOOKUP('別紙様式2-2（４・５月分）'!AR113,【参考】数式用!$AT$5:$AV$22,3,FALSE),"")</f>
        <v/>
      </c>
      <c r="R148" s="1388" t="s">
        <v>2190</v>
      </c>
      <c r="S148" s="1396" t="str">
        <f>IFERROR(VLOOKUP(K146,【参考】数式用!$A$5:$AB$27,MATCH(Q148,【参考】数式用!$B$4:$AB$4,0)+1,0),"")</f>
        <v/>
      </c>
      <c r="T148" s="1459" t="s">
        <v>2267</v>
      </c>
      <c r="U148" s="1569"/>
      <c r="V148" s="1463" t="str">
        <f>IFERROR(VLOOKUP(K146,【参考】数式用!$A$5:$AB$27,MATCH(U148,【参考】数式用!$B$4:$AB$4,0)+1,0),"")</f>
        <v/>
      </c>
      <c r="W148" s="1465" t="s">
        <v>19</v>
      </c>
      <c r="X148" s="1564"/>
      <c r="Y148" s="1407" t="s">
        <v>10</v>
      </c>
      <c r="Z148" s="1564"/>
      <c r="AA148" s="1407" t="s">
        <v>45</v>
      </c>
      <c r="AB148" s="1564"/>
      <c r="AC148" s="1407" t="s">
        <v>10</v>
      </c>
      <c r="AD148" s="1564"/>
      <c r="AE148" s="1407" t="s">
        <v>2172</v>
      </c>
      <c r="AF148" s="1407" t="s">
        <v>24</v>
      </c>
      <c r="AG148" s="1407" t="str">
        <f>IF(X148&gt;=1,(AB148*12+AD148)-(X148*12+Z148)+1,"")</f>
        <v/>
      </c>
      <c r="AH148" s="1409" t="s">
        <v>38</v>
      </c>
      <c r="AI148" s="1411" t="str">
        <f t="shared" ref="AI148" si="159">IFERROR(ROUNDDOWN(ROUND(L146*V148,0)*M146,0)*AG148,"")</f>
        <v/>
      </c>
      <c r="AJ148" s="1577" t="str">
        <f>IFERROR(ROUNDDOWN(ROUND((L146*(V148-AX146)),0)*M146,0)*AG148,"")</f>
        <v/>
      </c>
      <c r="AK148" s="1494" t="str">
        <f>IFERROR(ROUNDDOWN(ROUNDDOWN(ROUND(L146*VLOOKUP(K146,【参考】数式用!$A$5:$AB$27,MATCH("新加算Ⅳ",【参考】数式用!$B$4:$AB$4,0)+1,0),0)*M146,0)*AG148*0.5,0),"")</f>
        <v/>
      </c>
      <c r="AL148" s="1579"/>
      <c r="AM148" s="1585" t="str">
        <f>IFERROR(IF('別紙様式2-2（４・５月分）'!Q115="ベア加算","", IF(OR(U148="新加算Ⅰ",U148="新加算Ⅱ",U148="新加算Ⅲ",U148="新加算Ⅳ"),ROUNDDOWN(ROUND(L146*VLOOKUP(K146,【参考】数式用!$A$5:$I$27,MATCH("ベア加算",【参考】数式用!$B$4:$I$4,0)+1,0),0)*M146,0)*AG148,"")),"")</f>
        <v/>
      </c>
      <c r="AN148" s="1548"/>
      <c r="AO148" s="1554"/>
      <c r="AP148" s="1552"/>
      <c r="AQ148" s="1554"/>
      <c r="AR148" s="1556"/>
      <c r="AS148" s="1558"/>
      <c r="AT148" s="1532"/>
      <c r="AU148" s="542"/>
      <c r="AV148" s="1493" t="str">
        <f t="shared" ref="AV148" si="160">IF(OR(AB146&lt;&gt;7,AD146&lt;&gt;3),"V列に色付け","")</f>
        <v/>
      </c>
      <c r="AW148" s="1518"/>
      <c r="AX148" s="1507"/>
      <c r="AY148" s="671"/>
      <c r="AZ148" s="1321" t="str">
        <f>IF(AM148&lt;&gt;"",IF(AN148="○","入力済","未入力"),"")</f>
        <v/>
      </c>
      <c r="BA148" s="1321"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321" t="str">
        <f>IF(OR(U148="新加算Ⅴ（７）",U148="新加算Ⅴ（９）",U148="新加算Ⅴ（10）",U148="新加算Ⅴ（12）",U148="新加算Ⅴ（13）",U148="新加算Ⅴ（14）"),IF(OR(AP148="○",AP148="令和６年度中に満たす"),"入力済","未入力"),"")</f>
        <v/>
      </c>
      <c r="BC148" s="1321" t="str">
        <f>IF(OR(U148="新加算Ⅰ",U148="新加算Ⅱ",U148="新加算Ⅲ",U148="新加算Ⅴ（１）",U148="新加算Ⅴ（３）",U148="新加算Ⅴ（８）"),IF(OR(AQ148="○",AQ148="令和６年度中に満たす"),"入力済","未入力"),"")</f>
        <v/>
      </c>
      <c r="BD148" s="1588"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493" t="str">
        <f>IF(OR(U148="新加算Ⅰ",U148="新加算Ⅴ（１）",U148="新加算Ⅴ（２）",U148="新加算Ⅴ（５）",U148="新加算Ⅴ（７）",U148="新加算Ⅴ（10）"),IF(AS148="","未入力","入力済"),"")</f>
        <v/>
      </c>
      <c r="BF148" s="1493" t="str">
        <f>G146</f>
        <v/>
      </c>
      <c r="BG148" s="1493"/>
      <c r="BH148" s="1493"/>
    </row>
    <row r="149" spans="1:60" ht="30" customHeight="1" thickBot="1">
      <c r="A149" s="1227"/>
      <c r="B149" s="1376"/>
      <c r="C149" s="1377"/>
      <c r="D149" s="1377"/>
      <c r="E149" s="1377"/>
      <c r="F149" s="1378"/>
      <c r="G149" s="1267"/>
      <c r="H149" s="1267"/>
      <c r="I149" s="1267"/>
      <c r="J149" s="1373"/>
      <c r="K149" s="1267"/>
      <c r="L149" s="1452"/>
      <c r="M149" s="1449"/>
      <c r="N149" s="650" t="str">
        <f>IF('別紙様式2-2（４・５月分）'!Q115="","",'別紙様式2-2（４・５月分）'!Q115)</f>
        <v/>
      </c>
      <c r="O149" s="1369"/>
      <c r="P149" s="1391"/>
      <c r="Q149" s="1505"/>
      <c r="R149" s="1389"/>
      <c r="S149" s="1395"/>
      <c r="T149" s="1460"/>
      <c r="U149" s="1570"/>
      <c r="V149" s="1464"/>
      <c r="W149" s="1466"/>
      <c r="X149" s="1565"/>
      <c r="Y149" s="1408"/>
      <c r="Z149" s="1565"/>
      <c r="AA149" s="1408"/>
      <c r="AB149" s="1565"/>
      <c r="AC149" s="1408"/>
      <c r="AD149" s="1565"/>
      <c r="AE149" s="1408"/>
      <c r="AF149" s="1408"/>
      <c r="AG149" s="1408"/>
      <c r="AH149" s="1410"/>
      <c r="AI149" s="1412"/>
      <c r="AJ149" s="1578"/>
      <c r="AK149" s="1495"/>
      <c r="AL149" s="1580"/>
      <c r="AM149" s="1586"/>
      <c r="AN149" s="1549"/>
      <c r="AO149" s="1555"/>
      <c r="AP149" s="1553"/>
      <c r="AQ149" s="1555"/>
      <c r="AR149" s="1557"/>
      <c r="AS149" s="1559"/>
      <c r="AT149" s="672" t="str">
        <f t="shared" ref="AT149" si="161">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42"/>
      <c r="AV149" s="1493"/>
      <c r="AW149" s="652" t="str">
        <f>IF('別紙様式2-2（４・５月分）'!O115="","",'別紙様式2-2（４・５月分）'!O115)</f>
        <v/>
      </c>
      <c r="AX149" s="1507"/>
      <c r="AY149" s="673"/>
      <c r="AZ149" s="1321" t="str">
        <f>IF(OR(U149="新加算Ⅰ",U149="新加算Ⅱ",U149="新加算Ⅲ",U149="新加算Ⅳ",U149="新加算Ⅴ（１）",U149="新加算Ⅴ（２）",U149="新加算Ⅴ（３）",U149="新加算ⅠⅤ（４）",U149="新加算Ⅴ（５）",U149="新加算Ⅴ（６）",U149="新加算Ⅴ（８）",U149="新加算Ⅴ（11）"),IF(AJ149="○","","未入力"),"")</f>
        <v/>
      </c>
      <c r="BA149" s="1321" t="str">
        <f>IF(OR(V149="新加算Ⅰ",V149="新加算Ⅱ",V149="新加算Ⅲ",V149="新加算Ⅳ",V149="新加算Ⅴ（１）",V149="新加算Ⅴ（２）",V149="新加算Ⅴ（３）",V149="新加算ⅠⅤ（４）",V149="新加算Ⅴ（５）",V149="新加算Ⅴ（６）",V149="新加算Ⅴ（８）",V149="新加算Ⅴ（11）"),IF(AK149="○","","未入力"),"")</f>
        <v/>
      </c>
      <c r="BB149" s="1321" t="str">
        <f>IF(OR(V149="新加算Ⅴ（７）",V149="新加算Ⅴ（９）",V149="新加算Ⅴ（10）",V149="新加算Ⅴ（12）",V149="新加算Ⅴ（13）",V149="新加算Ⅴ（14）"),IF(AL149="○","","未入力"),"")</f>
        <v/>
      </c>
      <c r="BC149" s="1321" t="str">
        <f>IF(OR(V149="新加算Ⅰ",V149="新加算Ⅱ",V149="新加算Ⅲ",V149="新加算Ⅴ（１）",V149="新加算Ⅴ（３）",V149="新加算Ⅴ（８）"),IF(AM149="○","","未入力"),"")</f>
        <v/>
      </c>
      <c r="BD149" s="1588"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493" t="str">
        <f>IF(AND(U149&lt;&gt;"（参考）令和７年度の移行予定",OR(V149="新加算Ⅰ",V149="新加算Ⅴ（１）",V149="新加算Ⅴ（２）",V149="新加算Ⅴ（５）",V149="新加算Ⅴ（７）",V149="新加算Ⅴ（10）")),IF(AO149="","未入力",IF(AO149="いずれも取得していない","要件を満たさない","")),"")</f>
        <v/>
      </c>
      <c r="BF149" s="1493" t="str">
        <f>G146</f>
        <v/>
      </c>
      <c r="BG149" s="1493"/>
      <c r="BH149" s="1493"/>
    </row>
    <row r="150" spans="1:60" ht="30" customHeight="1">
      <c r="A150" s="1225">
        <v>35</v>
      </c>
      <c r="B150" s="1272" t="str">
        <f>IF(基本情報入力シート!C88="","",基本情報入力シート!C88)</f>
        <v/>
      </c>
      <c r="C150" s="1261"/>
      <c r="D150" s="1261"/>
      <c r="E150" s="1261"/>
      <c r="F150" s="1262"/>
      <c r="G150" s="1266" t="str">
        <f>IF(基本情報入力シート!M88="","",基本情報入力シート!M88)</f>
        <v/>
      </c>
      <c r="H150" s="1266" t="str">
        <f>IF(基本情報入力シート!R88="","",基本情報入力シート!R88)</f>
        <v/>
      </c>
      <c r="I150" s="1266" t="str">
        <f>IF(基本情報入力シート!W88="","",基本情報入力シート!W88)</f>
        <v/>
      </c>
      <c r="J150" s="1372" t="str">
        <f>IF(基本情報入力シート!X88="","",基本情報入力シート!X88)</f>
        <v/>
      </c>
      <c r="K150" s="1266" t="str">
        <f>IF(基本情報入力シート!Y88="","",基本情報入力シート!Y88)</f>
        <v/>
      </c>
      <c r="L150" s="1451" t="str">
        <f>IF(基本情報入力シート!AB88="","",基本情報入力シート!AB88)</f>
        <v/>
      </c>
      <c r="M150" s="1453" t="str">
        <f>IF(基本情報入力シート!AC88="","",基本情報入力シート!AC88)</f>
        <v/>
      </c>
      <c r="N150" s="647" t="str">
        <f>IF('別紙様式2-2（４・５月分）'!Q116="","",'別紙様式2-2（４・５月分）'!Q116)</f>
        <v/>
      </c>
      <c r="O150" s="1366" t="str">
        <f>IF(SUM('別紙様式2-2（４・５月分）'!R116:R118)=0,"",SUM('別紙様式2-2（４・５月分）'!R116:R118))</f>
        <v/>
      </c>
      <c r="P150" s="1380" t="str">
        <f>IFERROR(VLOOKUP('別紙様式2-2（４・５月分）'!AR116,【参考】数式用!$AT$5:$AU$22,2,FALSE),"")</f>
        <v/>
      </c>
      <c r="Q150" s="1381"/>
      <c r="R150" s="1382"/>
      <c r="S150" s="1392" t="str">
        <f>IFERROR(VLOOKUP(K150,【参考】数式用!$A$5:$AB$27,MATCH(P150,【参考】数式用!$B$4:$AB$4,0)+1,0),"")</f>
        <v/>
      </c>
      <c r="T150" s="1413" t="s">
        <v>2258</v>
      </c>
      <c r="U150" s="1562" t="str">
        <f>IF('別紙様式2-3（６月以降分）'!U150="","",'別紙様式2-3（６月以降分）'!U150)</f>
        <v/>
      </c>
      <c r="V150" s="1457" t="str">
        <f>IFERROR(VLOOKUP(K150,【参考】数式用!$A$5:$AB$27,MATCH(U150,【参考】数式用!$B$4:$AB$4,0)+1,0),"")</f>
        <v/>
      </c>
      <c r="W150" s="1350" t="s">
        <v>19</v>
      </c>
      <c r="X150" s="1534">
        <f>'別紙様式2-3（６月以降分）'!X150</f>
        <v>6</v>
      </c>
      <c r="Y150" s="1354" t="s">
        <v>10</v>
      </c>
      <c r="Z150" s="1534">
        <f>'別紙様式2-3（６月以降分）'!Z150</f>
        <v>6</v>
      </c>
      <c r="AA150" s="1354" t="s">
        <v>45</v>
      </c>
      <c r="AB150" s="1534">
        <f>'別紙様式2-3（６月以降分）'!AB150</f>
        <v>7</v>
      </c>
      <c r="AC150" s="1354" t="s">
        <v>10</v>
      </c>
      <c r="AD150" s="1534">
        <f>'別紙様式2-3（６月以降分）'!AD150</f>
        <v>3</v>
      </c>
      <c r="AE150" s="1354" t="s">
        <v>2172</v>
      </c>
      <c r="AF150" s="1354" t="s">
        <v>24</v>
      </c>
      <c r="AG150" s="1354">
        <f>IF(X150&gt;=1,(AB150*12+AD150)-(X150*12+Z150)+1,"")</f>
        <v>10</v>
      </c>
      <c r="AH150" s="1360" t="s">
        <v>38</v>
      </c>
      <c r="AI150" s="1481" t="str">
        <f>'別紙様式2-3（６月以降分）'!AI150</f>
        <v/>
      </c>
      <c r="AJ150" s="1542" t="str">
        <f>'別紙様式2-3（６月以降分）'!AJ150</f>
        <v/>
      </c>
      <c r="AK150" s="1538">
        <f>'別紙様式2-3（６月以降分）'!AK150</f>
        <v>0</v>
      </c>
      <c r="AL150" s="1540" t="str">
        <f>IF('別紙様式2-3（６月以降分）'!AL150="","",'別紙様式2-3（６月以降分）'!AL150)</f>
        <v/>
      </c>
      <c r="AM150" s="1571">
        <f>'別紙様式2-3（６月以降分）'!AM150</f>
        <v>0</v>
      </c>
      <c r="AN150" s="1573" t="str">
        <f>IF('別紙様式2-3（６月以降分）'!AN150="","",'別紙様式2-3（６月以降分）'!AN150)</f>
        <v/>
      </c>
      <c r="AO150" s="1403" t="str">
        <f>IF('別紙様式2-3（６月以降分）'!AO150="","",'別紙様式2-3（６月以降分）'!AO150)</f>
        <v/>
      </c>
      <c r="AP150" s="1502" t="str">
        <f>IF('別紙様式2-3（６月以降分）'!AP150="","",'別紙様式2-3（６月以降分）'!AP150)</f>
        <v/>
      </c>
      <c r="AQ150" s="1403" t="str">
        <f>IF('別紙様式2-3（６月以降分）'!AQ150="","",'別紙様式2-3（６月以降分）'!AQ150)</f>
        <v/>
      </c>
      <c r="AR150" s="1583" t="str">
        <f>IF('別紙様式2-3（６月以降分）'!AR150="","",'別紙様式2-3（６月以降分）'!AR150)</f>
        <v/>
      </c>
      <c r="AS150" s="1536" t="str">
        <f>IF('別紙様式2-3（６月以降分）'!AS150="","",'別紙様式2-3（６月以降分）'!AS150)</f>
        <v/>
      </c>
      <c r="AT150" s="667" t="str">
        <f t="shared" ref="AT150" si="162">IF(AV152="","",IF(V152&lt;V150,"！加算の要件上は問題ありませんが、令和６年度当初の新加算の加算率と比較して、移行後の加算率が下がる計画になっています。",""))</f>
        <v/>
      </c>
      <c r="AU150" s="674"/>
      <c r="AV150" s="1233"/>
      <c r="AW150" s="652" t="str">
        <f>IF('別紙様式2-2（４・５月分）'!O116="","",'別紙様式2-2（４・５月分）'!O116)</f>
        <v/>
      </c>
      <c r="AX150" s="1507" t="str">
        <f>IF(SUM('別紙様式2-2（４・５月分）'!P116:P118)=0,"",SUM('別紙様式2-2（４・５月分）'!P116:P118))</f>
        <v/>
      </c>
      <c r="AY150" s="1590" t="str">
        <f>IFERROR(VLOOKUP(K150,【参考】数式用!$AJ$2:$AK$24,2,FALSE),"")</f>
        <v/>
      </c>
      <c r="AZ150" s="584"/>
      <c r="BE150" s="428"/>
      <c r="BF150" s="1493" t="str">
        <f>G150</f>
        <v/>
      </c>
      <c r="BG150" s="1493"/>
      <c r="BH150" s="1493"/>
    </row>
    <row r="151" spans="1:60" ht="15" customHeight="1">
      <c r="A151" s="1226"/>
      <c r="B151" s="1272"/>
      <c r="C151" s="1261"/>
      <c r="D151" s="1261"/>
      <c r="E151" s="1261"/>
      <c r="F151" s="1262"/>
      <c r="G151" s="1266"/>
      <c r="H151" s="1266"/>
      <c r="I151" s="1266"/>
      <c r="J151" s="1372"/>
      <c r="K151" s="1266"/>
      <c r="L151" s="1451"/>
      <c r="M151" s="1453"/>
      <c r="N151" s="1370" t="str">
        <f>IF('別紙様式2-2（４・５月分）'!Q117="","",'別紙様式2-2（４・５月分）'!Q117)</f>
        <v/>
      </c>
      <c r="O151" s="1367"/>
      <c r="P151" s="1383"/>
      <c r="Q151" s="1384"/>
      <c r="R151" s="1385"/>
      <c r="S151" s="1393"/>
      <c r="T151" s="1414"/>
      <c r="U151" s="1563"/>
      <c r="V151" s="1458"/>
      <c r="W151" s="1351"/>
      <c r="X151" s="1535"/>
      <c r="Y151" s="1355"/>
      <c r="Z151" s="1535"/>
      <c r="AA151" s="1355"/>
      <c r="AB151" s="1535"/>
      <c r="AC151" s="1355"/>
      <c r="AD151" s="1535"/>
      <c r="AE151" s="1355"/>
      <c r="AF151" s="1355"/>
      <c r="AG151" s="1355"/>
      <c r="AH151" s="1361"/>
      <c r="AI151" s="1482"/>
      <c r="AJ151" s="1543"/>
      <c r="AK151" s="1539"/>
      <c r="AL151" s="1541"/>
      <c r="AM151" s="1572"/>
      <c r="AN151" s="1574"/>
      <c r="AO151" s="1404"/>
      <c r="AP151" s="1533"/>
      <c r="AQ151" s="1404"/>
      <c r="AR151" s="1584"/>
      <c r="AS151" s="1537"/>
      <c r="AT151" s="1532" t="str">
        <f t="shared" ref="AT151" si="163">IF(AV152="","",IF(OR(AB152="",AB152&lt;&gt;7,AD152="",AD152&lt;&gt;3),"！算定期間の終わりが令和７年３月になっていません。年度内の廃止予定等がなければ、算定対象月を令和７年３月にしてください。",""))</f>
        <v/>
      </c>
      <c r="AU151" s="674"/>
      <c r="AV151" s="1493"/>
      <c r="AW151" s="1518" t="str">
        <f>IF('別紙様式2-2（４・５月分）'!O117="","",'別紙様式2-2（４・５月分）'!O117)</f>
        <v/>
      </c>
      <c r="AX151" s="1507"/>
      <c r="AY151" s="1589"/>
      <c r="AZ151" s="521"/>
      <c r="BE151" s="428"/>
      <c r="BF151" s="1493" t="str">
        <f>G150</f>
        <v/>
      </c>
      <c r="BG151" s="1493"/>
      <c r="BH151" s="1493"/>
    </row>
    <row r="152" spans="1:60" ht="15" customHeight="1">
      <c r="A152" s="1240"/>
      <c r="B152" s="1272"/>
      <c r="C152" s="1261"/>
      <c r="D152" s="1261"/>
      <c r="E152" s="1261"/>
      <c r="F152" s="1262"/>
      <c r="G152" s="1266"/>
      <c r="H152" s="1266"/>
      <c r="I152" s="1266"/>
      <c r="J152" s="1372"/>
      <c r="K152" s="1266"/>
      <c r="L152" s="1451"/>
      <c r="M152" s="1453"/>
      <c r="N152" s="1371"/>
      <c r="O152" s="1368"/>
      <c r="P152" s="1390" t="s">
        <v>2179</v>
      </c>
      <c r="Q152" s="1504" t="str">
        <f>IFERROR(VLOOKUP('別紙様式2-2（４・５月分）'!AR116,【参考】数式用!$AT$5:$AV$22,3,FALSE),"")</f>
        <v/>
      </c>
      <c r="R152" s="1388" t="s">
        <v>2190</v>
      </c>
      <c r="S152" s="1394" t="str">
        <f>IFERROR(VLOOKUP(K150,【参考】数式用!$A$5:$AB$27,MATCH(Q152,【参考】数式用!$B$4:$AB$4,0)+1,0),"")</f>
        <v/>
      </c>
      <c r="T152" s="1459" t="s">
        <v>2267</v>
      </c>
      <c r="U152" s="1569"/>
      <c r="V152" s="1463" t="str">
        <f>IFERROR(VLOOKUP(K150,【参考】数式用!$A$5:$AB$27,MATCH(U152,【参考】数式用!$B$4:$AB$4,0)+1,0),"")</f>
        <v/>
      </c>
      <c r="W152" s="1465" t="s">
        <v>19</v>
      </c>
      <c r="X152" s="1564"/>
      <c r="Y152" s="1407" t="s">
        <v>10</v>
      </c>
      <c r="Z152" s="1564"/>
      <c r="AA152" s="1407" t="s">
        <v>45</v>
      </c>
      <c r="AB152" s="1564"/>
      <c r="AC152" s="1407" t="s">
        <v>10</v>
      </c>
      <c r="AD152" s="1564"/>
      <c r="AE152" s="1407" t="s">
        <v>2172</v>
      </c>
      <c r="AF152" s="1407" t="s">
        <v>24</v>
      </c>
      <c r="AG152" s="1407" t="str">
        <f>IF(X152&gt;=1,(AB152*12+AD152)-(X152*12+Z152)+1,"")</f>
        <v/>
      </c>
      <c r="AH152" s="1409" t="s">
        <v>38</v>
      </c>
      <c r="AI152" s="1411" t="str">
        <f t="shared" ref="AI152" si="164">IFERROR(ROUNDDOWN(ROUND(L150*V152,0)*M150,0)*AG152,"")</f>
        <v/>
      </c>
      <c r="AJ152" s="1577" t="str">
        <f>IFERROR(ROUNDDOWN(ROUND((L150*(V152-AX150)),0)*M150,0)*AG152,"")</f>
        <v/>
      </c>
      <c r="AK152" s="1494" t="str">
        <f>IFERROR(ROUNDDOWN(ROUNDDOWN(ROUND(L150*VLOOKUP(K150,【参考】数式用!$A$5:$AB$27,MATCH("新加算Ⅳ",【参考】数式用!$B$4:$AB$4,0)+1,0),0)*M150,0)*AG152*0.5,0),"")</f>
        <v/>
      </c>
      <c r="AL152" s="1579"/>
      <c r="AM152" s="1585" t="str">
        <f>IFERROR(IF('別紙様式2-2（４・５月分）'!Q118="ベア加算","", IF(OR(U152="新加算Ⅰ",U152="新加算Ⅱ",U152="新加算Ⅲ",U152="新加算Ⅳ"),ROUNDDOWN(ROUND(L150*VLOOKUP(K150,【参考】数式用!$A$5:$I$27,MATCH("ベア加算",【参考】数式用!$B$4:$I$4,0)+1,0),0)*M150,0)*AG152,"")),"")</f>
        <v/>
      </c>
      <c r="AN152" s="1548"/>
      <c r="AO152" s="1554"/>
      <c r="AP152" s="1552"/>
      <c r="AQ152" s="1554"/>
      <c r="AR152" s="1556"/>
      <c r="AS152" s="1558"/>
      <c r="AT152" s="1532"/>
      <c r="AU152" s="542"/>
      <c r="AV152" s="1493" t="str">
        <f t="shared" ref="AV152" si="165">IF(OR(AB150&lt;&gt;7,AD150&lt;&gt;3),"V列に色付け","")</f>
        <v/>
      </c>
      <c r="AW152" s="1518"/>
      <c r="AX152" s="1507"/>
      <c r="AY152" s="671"/>
      <c r="AZ152" s="1321" t="str">
        <f>IF(AM152&lt;&gt;"",IF(AN152="○","入力済","未入力"),"")</f>
        <v/>
      </c>
      <c r="BA152" s="1321"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321" t="str">
        <f>IF(OR(U152="新加算Ⅴ（７）",U152="新加算Ⅴ（９）",U152="新加算Ⅴ（10）",U152="新加算Ⅴ（12）",U152="新加算Ⅴ（13）",U152="新加算Ⅴ（14）"),IF(OR(AP152="○",AP152="令和６年度中に満たす"),"入力済","未入力"),"")</f>
        <v/>
      </c>
      <c r="BC152" s="1321" t="str">
        <f>IF(OR(U152="新加算Ⅰ",U152="新加算Ⅱ",U152="新加算Ⅲ",U152="新加算Ⅴ（１）",U152="新加算Ⅴ（３）",U152="新加算Ⅴ（８）"),IF(OR(AQ152="○",AQ152="令和６年度中に満たす"),"入力済","未入力"),"")</f>
        <v/>
      </c>
      <c r="BD152" s="1588"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493" t="str">
        <f>IF(OR(U152="新加算Ⅰ",U152="新加算Ⅴ（１）",U152="新加算Ⅴ（２）",U152="新加算Ⅴ（５）",U152="新加算Ⅴ（７）",U152="新加算Ⅴ（10）"),IF(AS152="","未入力","入力済"),"")</f>
        <v/>
      </c>
      <c r="BF152" s="1493" t="str">
        <f>G150</f>
        <v/>
      </c>
      <c r="BG152" s="1493"/>
      <c r="BH152" s="1493"/>
    </row>
    <row r="153" spans="1:60" ht="30" customHeight="1" thickBot="1">
      <c r="A153" s="1227"/>
      <c r="B153" s="1376"/>
      <c r="C153" s="1377"/>
      <c r="D153" s="1377"/>
      <c r="E153" s="1377"/>
      <c r="F153" s="1378"/>
      <c r="G153" s="1267"/>
      <c r="H153" s="1267"/>
      <c r="I153" s="1267"/>
      <c r="J153" s="1373"/>
      <c r="K153" s="1267"/>
      <c r="L153" s="1452"/>
      <c r="M153" s="1454"/>
      <c r="N153" s="650" t="str">
        <f>IF('別紙様式2-2（４・５月分）'!Q118="","",'別紙様式2-2（４・５月分）'!Q118)</f>
        <v/>
      </c>
      <c r="O153" s="1369"/>
      <c r="P153" s="1391"/>
      <c r="Q153" s="1505"/>
      <c r="R153" s="1389"/>
      <c r="S153" s="1395"/>
      <c r="T153" s="1460"/>
      <c r="U153" s="1570"/>
      <c r="V153" s="1464"/>
      <c r="W153" s="1466"/>
      <c r="X153" s="1565"/>
      <c r="Y153" s="1408"/>
      <c r="Z153" s="1565"/>
      <c r="AA153" s="1408"/>
      <c r="AB153" s="1565"/>
      <c r="AC153" s="1408"/>
      <c r="AD153" s="1565"/>
      <c r="AE153" s="1408"/>
      <c r="AF153" s="1408"/>
      <c r="AG153" s="1408"/>
      <c r="AH153" s="1410"/>
      <c r="AI153" s="1412"/>
      <c r="AJ153" s="1578"/>
      <c r="AK153" s="1495"/>
      <c r="AL153" s="1580"/>
      <c r="AM153" s="1586"/>
      <c r="AN153" s="1549"/>
      <c r="AO153" s="1555"/>
      <c r="AP153" s="1553"/>
      <c r="AQ153" s="1555"/>
      <c r="AR153" s="1557"/>
      <c r="AS153" s="1559"/>
      <c r="AT153" s="672" t="str">
        <f t="shared" ref="AT153" si="166">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42"/>
      <c r="AV153" s="1493"/>
      <c r="AW153" s="652" t="str">
        <f>IF('別紙様式2-2（４・５月分）'!O118="","",'別紙様式2-2（４・５月分）'!O118)</f>
        <v/>
      </c>
      <c r="AX153" s="1507"/>
      <c r="AY153" s="673"/>
      <c r="AZ153" s="1321" t="str">
        <f>IF(OR(U153="新加算Ⅰ",U153="新加算Ⅱ",U153="新加算Ⅲ",U153="新加算Ⅳ",U153="新加算Ⅴ（１）",U153="新加算Ⅴ（２）",U153="新加算Ⅴ（３）",U153="新加算ⅠⅤ（４）",U153="新加算Ⅴ（５）",U153="新加算Ⅴ（６）",U153="新加算Ⅴ（８）",U153="新加算Ⅴ（11）"),IF(AJ153="○","","未入力"),"")</f>
        <v/>
      </c>
      <c r="BA153" s="1321" t="str">
        <f>IF(OR(V153="新加算Ⅰ",V153="新加算Ⅱ",V153="新加算Ⅲ",V153="新加算Ⅳ",V153="新加算Ⅴ（１）",V153="新加算Ⅴ（２）",V153="新加算Ⅴ（３）",V153="新加算ⅠⅤ（４）",V153="新加算Ⅴ（５）",V153="新加算Ⅴ（６）",V153="新加算Ⅴ（８）",V153="新加算Ⅴ（11）"),IF(AK153="○","","未入力"),"")</f>
        <v/>
      </c>
      <c r="BB153" s="1321" t="str">
        <f>IF(OR(V153="新加算Ⅴ（７）",V153="新加算Ⅴ（９）",V153="新加算Ⅴ（10）",V153="新加算Ⅴ（12）",V153="新加算Ⅴ（13）",V153="新加算Ⅴ（14）"),IF(AL153="○","","未入力"),"")</f>
        <v/>
      </c>
      <c r="BC153" s="1321" t="str">
        <f>IF(OR(V153="新加算Ⅰ",V153="新加算Ⅱ",V153="新加算Ⅲ",V153="新加算Ⅴ（１）",V153="新加算Ⅴ（３）",V153="新加算Ⅴ（８）"),IF(AM153="○","","未入力"),"")</f>
        <v/>
      </c>
      <c r="BD153" s="1588"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493" t="str">
        <f>IF(AND(U153&lt;&gt;"（参考）令和７年度の移行予定",OR(V153="新加算Ⅰ",V153="新加算Ⅴ（１）",V153="新加算Ⅴ（２）",V153="新加算Ⅴ（５）",V153="新加算Ⅴ（７）",V153="新加算Ⅴ（10）")),IF(AO153="","未入力",IF(AO153="いずれも取得していない","要件を満たさない","")),"")</f>
        <v/>
      </c>
      <c r="BF153" s="1493" t="str">
        <f>G150</f>
        <v/>
      </c>
      <c r="BG153" s="1493"/>
      <c r="BH153" s="1493"/>
    </row>
    <row r="154" spans="1:60" ht="30" customHeight="1">
      <c r="A154" s="1241">
        <v>36</v>
      </c>
      <c r="B154" s="1271" t="str">
        <f>IF(基本情報入力シート!C89="","",基本情報入力シート!C89)</f>
        <v/>
      </c>
      <c r="C154" s="1259"/>
      <c r="D154" s="1259"/>
      <c r="E154" s="1259"/>
      <c r="F154" s="1260"/>
      <c r="G154" s="1265" t="str">
        <f>IF(基本情報入力シート!M89="","",基本情報入力シート!M89)</f>
        <v/>
      </c>
      <c r="H154" s="1265" t="str">
        <f>IF(基本情報入力シート!R89="","",基本情報入力シート!R89)</f>
        <v/>
      </c>
      <c r="I154" s="1265" t="str">
        <f>IF(基本情報入力シート!W89="","",基本情報入力シート!W89)</f>
        <v/>
      </c>
      <c r="J154" s="1379" t="str">
        <f>IF(基本情報入力シート!X89="","",基本情報入力シート!X89)</f>
        <v/>
      </c>
      <c r="K154" s="1265" t="str">
        <f>IF(基本情報入力シート!Y89="","",基本情報入力シート!Y89)</f>
        <v/>
      </c>
      <c r="L154" s="1450" t="str">
        <f>IF(基本情報入力シート!AB89="","",基本情報入力シート!AB89)</f>
        <v/>
      </c>
      <c r="M154" s="1447" t="str">
        <f>IF(基本情報入力シート!AC89="","",基本情報入力シート!AC89)</f>
        <v/>
      </c>
      <c r="N154" s="647" t="str">
        <f>IF('別紙様式2-2（４・５月分）'!Q119="","",'別紙様式2-2（４・５月分）'!Q119)</f>
        <v/>
      </c>
      <c r="O154" s="1366" t="str">
        <f>IF(SUM('別紙様式2-2（４・５月分）'!R119:R121)=0,"",SUM('別紙様式2-2（４・５月分）'!R119:R121))</f>
        <v/>
      </c>
      <c r="P154" s="1380" t="str">
        <f>IFERROR(VLOOKUP('別紙様式2-2（４・５月分）'!AR119,【参考】数式用!$AT$5:$AU$22,2,FALSE),"")</f>
        <v/>
      </c>
      <c r="Q154" s="1381"/>
      <c r="R154" s="1382"/>
      <c r="S154" s="1392" t="str">
        <f>IFERROR(VLOOKUP(K154,【参考】数式用!$A$5:$AB$27,MATCH(P154,【参考】数式用!$B$4:$AB$4,0)+1,0),"")</f>
        <v/>
      </c>
      <c r="T154" s="1413" t="s">
        <v>2258</v>
      </c>
      <c r="U154" s="1562" t="str">
        <f>IF('別紙様式2-3（６月以降分）'!U154="","",'別紙様式2-3（６月以降分）'!U154)</f>
        <v/>
      </c>
      <c r="V154" s="1457" t="str">
        <f>IFERROR(VLOOKUP(K154,【参考】数式用!$A$5:$AB$27,MATCH(U154,【参考】数式用!$B$4:$AB$4,0)+1,0),"")</f>
        <v/>
      </c>
      <c r="W154" s="1350" t="s">
        <v>19</v>
      </c>
      <c r="X154" s="1534">
        <f>'別紙様式2-3（６月以降分）'!X154</f>
        <v>6</v>
      </c>
      <c r="Y154" s="1354" t="s">
        <v>10</v>
      </c>
      <c r="Z154" s="1534">
        <f>'別紙様式2-3（６月以降分）'!Z154</f>
        <v>6</v>
      </c>
      <c r="AA154" s="1354" t="s">
        <v>45</v>
      </c>
      <c r="AB154" s="1534">
        <f>'別紙様式2-3（６月以降分）'!AB154</f>
        <v>7</v>
      </c>
      <c r="AC154" s="1354" t="s">
        <v>10</v>
      </c>
      <c r="AD154" s="1534">
        <f>'別紙様式2-3（６月以降分）'!AD154</f>
        <v>3</v>
      </c>
      <c r="AE154" s="1354" t="s">
        <v>2172</v>
      </c>
      <c r="AF154" s="1354" t="s">
        <v>24</v>
      </c>
      <c r="AG154" s="1354">
        <f>IF(X154&gt;=1,(AB154*12+AD154)-(X154*12+Z154)+1,"")</f>
        <v>10</v>
      </c>
      <c r="AH154" s="1360" t="s">
        <v>38</v>
      </c>
      <c r="AI154" s="1481" t="str">
        <f>'別紙様式2-3（６月以降分）'!AI154</f>
        <v/>
      </c>
      <c r="AJ154" s="1542" t="str">
        <f>'別紙様式2-3（６月以降分）'!AJ154</f>
        <v/>
      </c>
      <c r="AK154" s="1538">
        <f>'別紙様式2-3（６月以降分）'!AK154</f>
        <v>0</v>
      </c>
      <c r="AL154" s="1540" t="str">
        <f>IF('別紙様式2-3（６月以降分）'!AL154="","",'別紙様式2-3（６月以降分）'!AL154)</f>
        <v/>
      </c>
      <c r="AM154" s="1571">
        <f>'別紙様式2-3（６月以降分）'!AM154</f>
        <v>0</v>
      </c>
      <c r="AN154" s="1573" t="str">
        <f>IF('別紙様式2-3（６月以降分）'!AN154="","",'別紙様式2-3（６月以降分）'!AN154)</f>
        <v/>
      </c>
      <c r="AO154" s="1403" t="str">
        <f>IF('別紙様式2-3（６月以降分）'!AO154="","",'別紙様式2-3（６月以降分）'!AO154)</f>
        <v/>
      </c>
      <c r="AP154" s="1502" t="str">
        <f>IF('別紙様式2-3（６月以降分）'!AP154="","",'別紙様式2-3（６月以降分）'!AP154)</f>
        <v/>
      </c>
      <c r="AQ154" s="1403" t="str">
        <f>IF('別紙様式2-3（６月以降分）'!AQ154="","",'別紙様式2-3（６月以降分）'!AQ154)</f>
        <v/>
      </c>
      <c r="AR154" s="1583" t="str">
        <f>IF('別紙様式2-3（６月以降分）'!AR154="","",'別紙様式2-3（６月以降分）'!AR154)</f>
        <v/>
      </c>
      <c r="AS154" s="1536" t="str">
        <f>IF('別紙様式2-3（６月以降分）'!AS154="","",'別紙様式2-3（６月以降分）'!AS154)</f>
        <v/>
      </c>
      <c r="AT154" s="667" t="str">
        <f t="shared" ref="AT154" si="167">IF(AV156="","",IF(V156&lt;V154,"！加算の要件上は問題ありませんが、令和６年度当初の新加算の加算率と比較して、移行後の加算率が下がる計画になっています。",""))</f>
        <v/>
      </c>
      <c r="AU154" s="674"/>
      <c r="AV154" s="1233"/>
      <c r="AW154" s="652" t="str">
        <f>IF('別紙様式2-2（４・５月分）'!O119="","",'別紙様式2-2（４・５月分）'!O119)</f>
        <v/>
      </c>
      <c r="AX154" s="1507" t="str">
        <f>IF(SUM('別紙様式2-2（４・５月分）'!P119:P121)=0,"",SUM('別紙様式2-2（４・５月分）'!P119:P121))</f>
        <v/>
      </c>
      <c r="AY154" s="1589" t="str">
        <f>IFERROR(VLOOKUP(K154,【参考】数式用!$AJ$2:$AK$24,2,FALSE),"")</f>
        <v/>
      </c>
      <c r="AZ154" s="584"/>
      <c r="BE154" s="428"/>
      <c r="BF154" s="1493" t="str">
        <f>G154</f>
        <v/>
      </c>
      <c r="BG154" s="1493"/>
      <c r="BH154" s="1493"/>
    </row>
    <row r="155" spans="1:60" ht="15" customHeight="1">
      <c r="A155" s="1226"/>
      <c r="B155" s="1272"/>
      <c r="C155" s="1261"/>
      <c r="D155" s="1261"/>
      <c r="E155" s="1261"/>
      <c r="F155" s="1262"/>
      <c r="G155" s="1266"/>
      <c r="H155" s="1266"/>
      <c r="I155" s="1266"/>
      <c r="J155" s="1372"/>
      <c r="K155" s="1266"/>
      <c r="L155" s="1451"/>
      <c r="M155" s="1448"/>
      <c r="N155" s="1370" t="str">
        <f>IF('別紙様式2-2（４・５月分）'!Q120="","",'別紙様式2-2（４・５月分）'!Q120)</f>
        <v/>
      </c>
      <c r="O155" s="1367"/>
      <c r="P155" s="1383"/>
      <c r="Q155" s="1384"/>
      <c r="R155" s="1385"/>
      <c r="S155" s="1393"/>
      <c r="T155" s="1414"/>
      <c r="U155" s="1563"/>
      <c r="V155" s="1458"/>
      <c r="W155" s="1351"/>
      <c r="X155" s="1535"/>
      <c r="Y155" s="1355"/>
      <c r="Z155" s="1535"/>
      <c r="AA155" s="1355"/>
      <c r="AB155" s="1535"/>
      <c r="AC155" s="1355"/>
      <c r="AD155" s="1535"/>
      <c r="AE155" s="1355"/>
      <c r="AF155" s="1355"/>
      <c r="AG155" s="1355"/>
      <c r="AH155" s="1361"/>
      <c r="AI155" s="1482"/>
      <c r="AJ155" s="1543"/>
      <c r="AK155" s="1539"/>
      <c r="AL155" s="1541"/>
      <c r="AM155" s="1572"/>
      <c r="AN155" s="1574"/>
      <c r="AO155" s="1404"/>
      <c r="AP155" s="1533"/>
      <c r="AQ155" s="1404"/>
      <c r="AR155" s="1584"/>
      <c r="AS155" s="1537"/>
      <c r="AT155" s="1532" t="str">
        <f t="shared" ref="AT155" si="168">IF(AV156="","",IF(OR(AB156="",AB156&lt;&gt;7,AD156="",AD156&lt;&gt;3),"！算定期間の終わりが令和７年３月になっていません。年度内の廃止予定等がなければ、算定対象月を令和７年３月にしてください。",""))</f>
        <v/>
      </c>
      <c r="AU155" s="674"/>
      <c r="AV155" s="1493"/>
      <c r="AW155" s="1518" t="str">
        <f>IF('別紙様式2-2（４・５月分）'!O120="","",'別紙様式2-2（４・５月分）'!O120)</f>
        <v/>
      </c>
      <c r="AX155" s="1507"/>
      <c r="AY155" s="1589"/>
      <c r="AZ155" s="521"/>
      <c r="BE155" s="428"/>
      <c r="BF155" s="1493" t="str">
        <f>G154</f>
        <v/>
      </c>
      <c r="BG155" s="1493"/>
      <c r="BH155" s="1493"/>
    </row>
    <row r="156" spans="1:60" ht="15" customHeight="1">
      <c r="A156" s="1240"/>
      <c r="B156" s="1272"/>
      <c r="C156" s="1261"/>
      <c r="D156" s="1261"/>
      <c r="E156" s="1261"/>
      <c r="F156" s="1262"/>
      <c r="G156" s="1266"/>
      <c r="H156" s="1266"/>
      <c r="I156" s="1266"/>
      <c r="J156" s="1372"/>
      <c r="K156" s="1266"/>
      <c r="L156" s="1451"/>
      <c r="M156" s="1448"/>
      <c r="N156" s="1371"/>
      <c r="O156" s="1368"/>
      <c r="P156" s="1390" t="s">
        <v>2179</v>
      </c>
      <c r="Q156" s="1504" t="str">
        <f>IFERROR(VLOOKUP('別紙様式2-2（４・５月分）'!AR119,【参考】数式用!$AT$5:$AV$22,3,FALSE),"")</f>
        <v/>
      </c>
      <c r="R156" s="1388" t="s">
        <v>2190</v>
      </c>
      <c r="S156" s="1396" t="str">
        <f>IFERROR(VLOOKUP(K154,【参考】数式用!$A$5:$AB$27,MATCH(Q156,【参考】数式用!$B$4:$AB$4,0)+1,0),"")</f>
        <v/>
      </c>
      <c r="T156" s="1459" t="s">
        <v>2267</v>
      </c>
      <c r="U156" s="1569"/>
      <c r="V156" s="1463" t="str">
        <f>IFERROR(VLOOKUP(K154,【参考】数式用!$A$5:$AB$27,MATCH(U156,【参考】数式用!$B$4:$AB$4,0)+1,0),"")</f>
        <v/>
      </c>
      <c r="W156" s="1465" t="s">
        <v>19</v>
      </c>
      <c r="X156" s="1564"/>
      <c r="Y156" s="1407" t="s">
        <v>10</v>
      </c>
      <c r="Z156" s="1564"/>
      <c r="AA156" s="1407" t="s">
        <v>45</v>
      </c>
      <c r="AB156" s="1564"/>
      <c r="AC156" s="1407" t="s">
        <v>10</v>
      </c>
      <c r="AD156" s="1564"/>
      <c r="AE156" s="1407" t="s">
        <v>2172</v>
      </c>
      <c r="AF156" s="1407" t="s">
        <v>24</v>
      </c>
      <c r="AG156" s="1407" t="str">
        <f>IF(X156&gt;=1,(AB156*12+AD156)-(X156*12+Z156)+1,"")</f>
        <v/>
      </c>
      <c r="AH156" s="1409" t="s">
        <v>38</v>
      </c>
      <c r="AI156" s="1411" t="str">
        <f t="shared" ref="AI156" si="169">IFERROR(ROUNDDOWN(ROUND(L154*V156,0)*M154,0)*AG156,"")</f>
        <v/>
      </c>
      <c r="AJ156" s="1577" t="str">
        <f>IFERROR(ROUNDDOWN(ROUND((L154*(V156-AX154)),0)*M154,0)*AG156,"")</f>
        <v/>
      </c>
      <c r="AK156" s="1494" t="str">
        <f>IFERROR(ROUNDDOWN(ROUNDDOWN(ROUND(L154*VLOOKUP(K154,【参考】数式用!$A$5:$AB$27,MATCH("新加算Ⅳ",【参考】数式用!$B$4:$AB$4,0)+1,0),0)*M154,0)*AG156*0.5,0),"")</f>
        <v/>
      </c>
      <c r="AL156" s="1579"/>
      <c r="AM156" s="1585" t="str">
        <f>IFERROR(IF('別紙様式2-2（４・５月分）'!Q121="ベア加算","", IF(OR(U156="新加算Ⅰ",U156="新加算Ⅱ",U156="新加算Ⅲ",U156="新加算Ⅳ"),ROUNDDOWN(ROUND(L154*VLOOKUP(K154,【参考】数式用!$A$5:$I$27,MATCH("ベア加算",【参考】数式用!$B$4:$I$4,0)+1,0),0)*M154,0)*AG156,"")),"")</f>
        <v/>
      </c>
      <c r="AN156" s="1548"/>
      <c r="AO156" s="1554"/>
      <c r="AP156" s="1552"/>
      <c r="AQ156" s="1554"/>
      <c r="AR156" s="1556"/>
      <c r="AS156" s="1558"/>
      <c r="AT156" s="1532"/>
      <c r="AU156" s="542"/>
      <c r="AV156" s="1493" t="str">
        <f t="shared" ref="AV156" si="170">IF(OR(AB154&lt;&gt;7,AD154&lt;&gt;3),"V列に色付け","")</f>
        <v/>
      </c>
      <c r="AW156" s="1518"/>
      <c r="AX156" s="1507"/>
      <c r="AY156" s="671"/>
      <c r="AZ156" s="1321" t="str">
        <f>IF(AM156&lt;&gt;"",IF(AN156="○","入力済","未入力"),"")</f>
        <v/>
      </c>
      <c r="BA156" s="1321"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321" t="str">
        <f>IF(OR(U156="新加算Ⅴ（７）",U156="新加算Ⅴ（９）",U156="新加算Ⅴ（10）",U156="新加算Ⅴ（12）",U156="新加算Ⅴ（13）",U156="新加算Ⅴ（14）"),IF(OR(AP156="○",AP156="令和６年度中に満たす"),"入力済","未入力"),"")</f>
        <v/>
      </c>
      <c r="BC156" s="1321" t="str">
        <f>IF(OR(U156="新加算Ⅰ",U156="新加算Ⅱ",U156="新加算Ⅲ",U156="新加算Ⅴ（１）",U156="新加算Ⅴ（３）",U156="新加算Ⅴ（８）"),IF(OR(AQ156="○",AQ156="令和６年度中に満たす"),"入力済","未入力"),"")</f>
        <v/>
      </c>
      <c r="BD156" s="1588"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493" t="str">
        <f>IF(OR(U156="新加算Ⅰ",U156="新加算Ⅴ（１）",U156="新加算Ⅴ（２）",U156="新加算Ⅴ（５）",U156="新加算Ⅴ（７）",U156="新加算Ⅴ（10）"),IF(AS156="","未入力","入力済"),"")</f>
        <v/>
      </c>
      <c r="BF156" s="1493" t="str">
        <f>G154</f>
        <v/>
      </c>
      <c r="BG156" s="1493"/>
      <c r="BH156" s="1493"/>
    </row>
    <row r="157" spans="1:60" ht="30" customHeight="1" thickBot="1">
      <c r="A157" s="1227"/>
      <c r="B157" s="1376"/>
      <c r="C157" s="1377"/>
      <c r="D157" s="1377"/>
      <c r="E157" s="1377"/>
      <c r="F157" s="1378"/>
      <c r="G157" s="1267"/>
      <c r="H157" s="1267"/>
      <c r="I157" s="1267"/>
      <c r="J157" s="1373"/>
      <c r="K157" s="1267"/>
      <c r="L157" s="1452"/>
      <c r="M157" s="1449"/>
      <c r="N157" s="650" t="str">
        <f>IF('別紙様式2-2（４・５月分）'!Q121="","",'別紙様式2-2（４・５月分）'!Q121)</f>
        <v/>
      </c>
      <c r="O157" s="1369"/>
      <c r="P157" s="1391"/>
      <c r="Q157" s="1505"/>
      <c r="R157" s="1389"/>
      <c r="S157" s="1395"/>
      <c r="T157" s="1460"/>
      <c r="U157" s="1570"/>
      <c r="V157" s="1464"/>
      <c r="W157" s="1466"/>
      <c r="X157" s="1565"/>
      <c r="Y157" s="1408"/>
      <c r="Z157" s="1565"/>
      <c r="AA157" s="1408"/>
      <c r="AB157" s="1565"/>
      <c r="AC157" s="1408"/>
      <c r="AD157" s="1565"/>
      <c r="AE157" s="1408"/>
      <c r="AF157" s="1408"/>
      <c r="AG157" s="1408"/>
      <c r="AH157" s="1410"/>
      <c r="AI157" s="1412"/>
      <c r="AJ157" s="1578"/>
      <c r="AK157" s="1495"/>
      <c r="AL157" s="1580"/>
      <c r="AM157" s="1586"/>
      <c r="AN157" s="1549"/>
      <c r="AO157" s="1555"/>
      <c r="AP157" s="1553"/>
      <c r="AQ157" s="1555"/>
      <c r="AR157" s="1557"/>
      <c r="AS157" s="1559"/>
      <c r="AT157" s="672" t="str">
        <f t="shared" ref="AT157" si="171">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42"/>
      <c r="AV157" s="1493"/>
      <c r="AW157" s="652" t="str">
        <f>IF('別紙様式2-2（４・５月分）'!O121="","",'別紙様式2-2（４・５月分）'!O121)</f>
        <v/>
      </c>
      <c r="AX157" s="1507"/>
      <c r="AY157" s="673"/>
      <c r="AZ157" s="1321" t="str">
        <f>IF(OR(U157="新加算Ⅰ",U157="新加算Ⅱ",U157="新加算Ⅲ",U157="新加算Ⅳ",U157="新加算Ⅴ（１）",U157="新加算Ⅴ（２）",U157="新加算Ⅴ（３）",U157="新加算ⅠⅤ（４）",U157="新加算Ⅴ（５）",U157="新加算Ⅴ（６）",U157="新加算Ⅴ（８）",U157="新加算Ⅴ（11）"),IF(AJ157="○","","未入力"),"")</f>
        <v/>
      </c>
      <c r="BA157" s="1321" t="str">
        <f>IF(OR(V157="新加算Ⅰ",V157="新加算Ⅱ",V157="新加算Ⅲ",V157="新加算Ⅳ",V157="新加算Ⅴ（１）",V157="新加算Ⅴ（２）",V157="新加算Ⅴ（３）",V157="新加算ⅠⅤ（４）",V157="新加算Ⅴ（５）",V157="新加算Ⅴ（６）",V157="新加算Ⅴ（８）",V157="新加算Ⅴ（11）"),IF(AK157="○","","未入力"),"")</f>
        <v/>
      </c>
      <c r="BB157" s="1321" t="str">
        <f>IF(OR(V157="新加算Ⅴ（７）",V157="新加算Ⅴ（９）",V157="新加算Ⅴ（10）",V157="新加算Ⅴ（12）",V157="新加算Ⅴ（13）",V157="新加算Ⅴ（14）"),IF(AL157="○","","未入力"),"")</f>
        <v/>
      </c>
      <c r="BC157" s="1321" t="str">
        <f>IF(OR(V157="新加算Ⅰ",V157="新加算Ⅱ",V157="新加算Ⅲ",V157="新加算Ⅴ（１）",V157="新加算Ⅴ（３）",V157="新加算Ⅴ（８）"),IF(AM157="○","","未入力"),"")</f>
        <v/>
      </c>
      <c r="BD157" s="1588"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493" t="str">
        <f>IF(AND(U157&lt;&gt;"（参考）令和７年度の移行予定",OR(V157="新加算Ⅰ",V157="新加算Ⅴ（１）",V157="新加算Ⅴ（２）",V157="新加算Ⅴ（５）",V157="新加算Ⅴ（７）",V157="新加算Ⅴ（10）")),IF(AO157="","未入力",IF(AO157="いずれも取得していない","要件を満たさない","")),"")</f>
        <v/>
      </c>
      <c r="BF157" s="1493" t="str">
        <f>G154</f>
        <v/>
      </c>
      <c r="BG157" s="1493"/>
      <c r="BH157" s="1493"/>
    </row>
    <row r="158" spans="1:60" ht="30" customHeight="1">
      <c r="A158" s="1225">
        <v>37</v>
      </c>
      <c r="B158" s="1272" t="str">
        <f>IF(基本情報入力シート!C90="","",基本情報入力シート!C90)</f>
        <v/>
      </c>
      <c r="C158" s="1261"/>
      <c r="D158" s="1261"/>
      <c r="E158" s="1261"/>
      <c r="F158" s="1262"/>
      <c r="G158" s="1266" t="str">
        <f>IF(基本情報入力シート!M90="","",基本情報入力シート!M90)</f>
        <v/>
      </c>
      <c r="H158" s="1266" t="str">
        <f>IF(基本情報入力シート!R90="","",基本情報入力シート!R90)</f>
        <v/>
      </c>
      <c r="I158" s="1266" t="str">
        <f>IF(基本情報入力シート!W90="","",基本情報入力シート!W90)</f>
        <v/>
      </c>
      <c r="J158" s="1372" t="str">
        <f>IF(基本情報入力シート!X90="","",基本情報入力シート!X90)</f>
        <v/>
      </c>
      <c r="K158" s="1266" t="str">
        <f>IF(基本情報入力シート!Y90="","",基本情報入力シート!Y90)</f>
        <v/>
      </c>
      <c r="L158" s="1451" t="str">
        <f>IF(基本情報入力シート!AB90="","",基本情報入力シート!AB90)</f>
        <v/>
      </c>
      <c r="M158" s="1453" t="str">
        <f>IF(基本情報入力シート!AC90="","",基本情報入力シート!AC90)</f>
        <v/>
      </c>
      <c r="N158" s="647" t="str">
        <f>IF('別紙様式2-2（４・５月分）'!Q122="","",'別紙様式2-2（４・５月分）'!Q122)</f>
        <v/>
      </c>
      <c r="O158" s="1366" t="str">
        <f>IF(SUM('別紙様式2-2（４・５月分）'!R122:R124)=0,"",SUM('別紙様式2-2（４・５月分）'!R122:R124))</f>
        <v/>
      </c>
      <c r="P158" s="1380" t="str">
        <f>IFERROR(VLOOKUP('別紙様式2-2（４・５月分）'!AR122,【参考】数式用!$AT$5:$AU$22,2,FALSE),"")</f>
        <v/>
      </c>
      <c r="Q158" s="1381"/>
      <c r="R158" s="1382"/>
      <c r="S158" s="1392" t="str">
        <f>IFERROR(VLOOKUP(K158,【参考】数式用!$A$5:$AB$27,MATCH(P158,【参考】数式用!$B$4:$AB$4,0)+1,0),"")</f>
        <v/>
      </c>
      <c r="T158" s="1413" t="s">
        <v>2258</v>
      </c>
      <c r="U158" s="1562" t="str">
        <f>IF('別紙様式2-3（６月以降分）'!U158="","",'別紙様式2-3（６月以降分）'!U158)</f>
        <v/>
      </c>
      <c r="V158" s="1457" t="str">
        <f>IFERROR(VLOOKUP(K158,【参考】数式用!$A$5:$AB$27,MATCH(U158,【参考】数式用!$B$4:$AB$4,0)+1,0),"")</f>
        <v/>
      </c>
      <c r="W158" s="1350" t="s">
        <v>19</v>
      </c>
      <c r="X158" s="1534">
        <f>'別紙様式2-3（６月以降分）'!X158</f>
        <v>6</v>
      </c>
      <c r="Y158" s="1354" t="s">
        <v>10</v>
      </c>
      <c r="Z158" s="1534">
        <f>'別紙様式2-3（６月以降分）'!Z158</f>
        <v>6</v>
      </c>
      <c r="AA158" s="1354" t="s">
        <v>45</v>
      </c>
      <c r="AB158" s="1534">
        <f>'別紙様式2-3（６月以降分）'!AB158</f>
        <v>7</v>
      </c>
      <c r="AC158" s="1354" t="s">
        <v>10</v>
      </c>
      <c r="AD158" s="1534">
        <f>'別紙様式2-3（６月以降分）'!AD158</f>
        <v>3</v>
      </c>
      <c r="AE158" s="1354" t="s">
        <v>2172</v>
      </c>
      <c r="AF158" s="1354" t="s">
        <v>24</v>
      </c>
      <c r="AG158" s="1354">
        <f>IF(X158&gt;=1,(AB158*12+AD158)-(X158*12+Z158)+1,"")</f>
        <v>10</v>
      </c>
      <c r="AH158" s="1360" t="s">
        <v>38</v>
      </c>
      <c r="AI158" s="1481" t="str">
        <f>'別紙様式2-3（６月以降分）'!AI158</f>
        <v/>
      </c>
      <c r="AJ158" s="1542" t="str">
        <f>'別紙様式2-3（６月以降分）'!AJ158</f>
        <v/>
      </c>
      <c r="AK158" s="1538">
        <f>'別紙様式2-3（６月以降分）'!AK158</f>
        <v>0</v>
      </c>
      <c r="AL158" s="1540" t="str">
        <f>IF('別紙様式2-3（６月以降分）'!AL158="","",'別紙様式2-3（６月以降分）'!AL158)</f>
        <v/>
      </c>
      <c r="AM158" s="1571">
        <f>'別紙様式2-3（６月以降分）'!AM158</f>
        <v>0</v>
      </c>
      <c r="AN158" s="1573" t="str">
        <f>IF('別紙様式2-3（６月以降分）'!AN158="","",'別紙様式2-3（６月以降分）'!AN158)</f>
        <v/>
      </c>
      <c r="AO158" s="1403" t="str">
        <f>IF('別紙様式2-3（６月以降分）'!AO158="","",'別紙様式2-3（６月以降分）'!AO158)</f>
        <v/>
      </c>
      <c r="AP158" s="1502" t="str">
        <f>IF('別紙様式2-3（６月以降分）'!AP158="","",'別紙様式2-3（６月以降分）'!AP158)</f>
        <v/>
      </c>
      <c r="AQ158" s="1403" t="str">
        <f>IF('別紙様式2-3（６月以降分）'!AQ158="","",'別紙様式2-3（６月以降分）'!AQ158)</f>
        <v/>
      </c>
      <c r="AR158" s="1583" t="str">
        <f>IF('別紙様式2-3（６月以降分）'!AR158="","",'別紙様式2-3（６月以降分）'!AR158)</f>
        <v/>
      </c>
      <c r="AS158" s="1536" t="str">
        <f>IF('別紙様式2-3（６月以降分）'!AS158="","",'別紙様式2-3（６月以降分）'!AS158)</f>
        <v/>
      </c>
      <c r="AT158" s="667" t="str">
        <f t="shared" ref="AT158" si="172">IF(AV160="","",IF(V160&lt;V158,"！加算の要件上は問題ありませんが、令和６年度当初の新加算の加算率と比較して、移行後の加算率が下がる計画になっています。",""))</f>
        <v/>
      </c>
      <c r="AU158" s="674"/>
      <c r="AV158" s="1233"/>
      <c r="AW158" s="652" t="str">
        <f>IF('別紙様式2-2（４・５月分）'!O122="","",'別紙様式2-2（４・５月分）'!O122)</f>
        <v/>
      </c>
      <c r="AX158" s="1507" t="str">
        <f>IF(SUM('別紙様式2-2（４・５月分）'!P122:P124)=0,"",SUM('別紙様式2-2（４・５月分）'!P122:P124))</f>
        <v/>
      </c>
      <c r="AY158" s="1590" t="str">
        <f>IFERROR(VLOOKUP(K158,【参考】数式用!$AJ$2:$AK$24,2,FALSE),"")</f>
        <v/>
      </c>
      <c r="AZ158" s="584"/>
      <c r="BE158" s="428"/>
      <c r="BF158" s="1493" t="str">
        <f>G158</f>
        <v/>
      </c>
      <c r="BG158" s="1493"/>
      <c r="BH158" s="1493"/>
    </row>
    <row r="159" spans="1:60" ht="15" customHeight="1">
      <c r="A159" s="1226"/>
      <c r="B159" s="1272"/>
      <c r="C159" s="1261"/>
      <c r="D159" s="1261"/>
      <c r="E159" s="1261"/>
      <c r="F159" s="1262"/>
      <c r="G159" s="1266"/>
      <c r="H159" s="1266"/>
      <c r="I159" s="1266"/>
      <c r="J159" s="1372"/>
      <c r="K159" s="1266"/>
      <c r="L159" s="1451"/>
      <c r="M159" s="1453"/>
      <c r="N159" s="1370" t="str">
        <f>IF('別紙様式2-2（４・５月分）'!Q123="","",'別紙様式2-2（４・５月分）'!Q123)</f>
        <v/>
      </c>
      <c r="O159" s="1367"/>
      <c r="P159" s="1383"/>
      <c r="Q159" s="1384"/>
      <c r="R159" s="1385"/>
      <c r="S159" s="1393"/>
      <c r="T159" s="1414"/>
      <c r="U159" s="1563"/>
      <c r="V159" s="1458"/>
      <c r="W159" s="1351"/>
      <c r="X159" s="1535"/>
      <c r="Y159" s="1355"/>
      <c r="Z159" s="1535"/>
      <c r="AA159" s="1355"/>
      <c r="AB159" s="1535"/>
      <c r="AC159" s="1355"/>
      <c r="AD159" s="1535"/>
      <c r="AE159" s="1355"/>
      <c r="AF159" s="1355"/>
      <c r="AG159" s="1355"/>
      <c r="AH159" s="1361"/>
      <c r="AI159" s="1482"/>
      <c r="AJ159" s="1543"/>
      <c r="AK159" s="1539"/>
      <c r="AL159" s="1541"/>
      <c r="AM159" s="1572"/>
      <c r="AN159" s="1574"/>
      <c r="AO159" s="1404"/>
      <c r="AP159" s="1533"/>
      <c r="AQ159" s="1404"/>
      <c r="AR159" s="1584"/>
      <c r="AS159" s="1537"/>
      <c r="AT159" s="1532" t="str">
        <f t="shared" ref="AT159" si="173">IF(AV160="","",IF(OR(AB160="",AB160&lt;&gt;7,AD160="",AD160&lt;&gt;3),"！算定期間の終わりが令和７年３月になっていません。年度内の廃止予定等がなければ、算定対象月を令和７年３月にしてください。",""))</f>
        <v/>
      </c>
      <c r="AU159" s="674"/>
      <c r="AV159" s="1493"/>
      <c r="AW159" s="1518" t="str">
        <f>IF('別紙様式2-2（４・５月分）'!O123="","",'別紙様式2-2（４・５月分）'!O123)</f>
        <v/>
      </c>
      <c r="AX159" s="1507"/>
      <c r="AY159" s="1589"/>
      <c r="AZ159" s="521"/>
      <c r="BE159" s="428"/>
      <c r="BF159" s="1493" t="str">
        <f>G158</f>
        <v/>
      </c>
      <c r="BG159" s="1493"/>
      <c r="BH159" s="1493"/>
    </row>
    <row r="160" spans="1:60" ht="15" customHeight="1">
      <c r="A160" s="1240"/>
      <c r="B160" s="1272"/>
      <c r="C160" s="1261"/>
      <c r="D160" s="1261"/>
      <c r="E160" s="1261"/>
      <c r="F160" s="1262"/>
      <c r="G160" s="1266"/>
      <c r="H160" s="1266"/>
      <c r="I160" s="1266"/>
      <c r="J160" s="1372"/>
      <c r="K160" s="1266"/>
      <c r="L160" s="1451"/>
      <c r="M160" s="1453"/>
      <c r="N160" s="1371"/>
      <c r="O160" s="1368"/>
      <c r="P160" s="1390" t="s">
        <v>2179</v>
      </c>
      <c r="Q160" s="1504" t="str">
        <f>IFERROR(VLOOKUP('別紙様式2-2（４・５月分）'!AR122,【参考】数式用!$AT$5:$AV$22,3,FALSE),"")</f>
        <v/>
      </c>
      <c r="R160" s="1388" t="s">
        <v>2190</v>
      </c>
      <c r="S160" s="1394" t="str">
        <f>IFERROR(VLOOKUP(K158,【参考】数式用!$A$5:$AB$27,MATCH(Q160,【参考】数式用!$B$4:$AB$4,0)+1,0),"")</f>
        <v/>
      </c>
      <c r="T160" s="1459" t="s">
        <v>2267</v>
      </c>
      <c r="U160" s="1569"/>
      <c r="V160" s="1463" t="str">
        <f>IFERROR(VLOOKUP(K158,【参考】数式用!$A$5:$AB$27,MATCH(U160,【参考】数式用!$B$4:$AB$4,0)+1,0),"")</f>
        <v/>
      </c>
      <c r="W160" s="1465" t="s">
        <v>19</v>
      </c>
      <c r="X160" s="1564"/>
      <c r="Y160" s="1407" t="s">
        <v>10</v>
      </c>
      <c r="Z160" s="1564"/>
      <c r="AA160" s="1407" t="s">
        <v>45</v>
      </c>
      <c r="AB160" s="1564"/>
      <c r="AC160" s="1407" t="s">
        <v>10</v>
      </c>
      <c r="AD160" s="1564"/>
      <c r="AE160" s="1407" t="s">
        <v>2172</v>
      </c>
      <c r="AF160" s="1407" t="s">
        <v>24</v>
      </c>
      <c r="AG160" s="1407" t="str">
        <f>IF(X160&gt;=1,(AB160*12+AD160)-(X160*12+Z160)+1,"")</f>
        <v/>
      </c>
      <c r="AH160" s="1409" t="s">
        <v>38</v>
      </c>
      <c r="AI160" s="1411" t="str">
        <f t="shared" ref="AI160" si="174">IFERROR(ROUNDDOWN(ROUND(L158*V160,0)*M158,0)*AG160,"")</f>
        <v/>
      </c>
      <c r="AJ160" s="1577" t="str">
        <f>IFERROR(ROUNDDOWN(ROUND((L158*(V160-AX158)),0)*M158,0)*AG160,"")</f>
        <v/>
      </c>
      <c r="AK160" s="1494" t="str">
        <f>IFERROR(ROUNDDOWN(ROUNDDOWN(ROUND(L158*VLOOKUP(K158,【参考】数式用!$A$5:$AB$27,MATCH("新加算Ⅳ",【参考】数式用!$B$4:$AB$4,0)+1,0),0)*M158,0)*AG160*0.5,0),"")</f>
        <v/>
      </c>
      <c r="AL160" s="1579"/>
      <c r="AM160" s="1585" t="str">
        <f>IFERROR(IF('別紙様式2-2（４・５月分）'!Q124="ベア加算","", IF(OR(U160="新加算Ⅰ",U160="新加算Ⅱ",U160="新加算Ⅲ",U160="新加算Ⅳ"),ROUNDDOWN(ROUND(L158*VLOOKUP(K158,【参考】数式用!$A$5:$I$27,MATCH("ベア加算",【参考】数式用!$B$4:$I$4,0)+1,0),0)*M158,0)*AG160,"")),"")</f>
        <v/>
      </c>
      <c r="AN160" s="1548"/>
      <c r="AO160" s="1554"/>
      <c r="AP160" s="1552"/>
      <c r="AQ160" s="1554"/>
      <c r="AR160" s="1556"/>
      <c r="AS160" s="1558"/>
      <c r="AT160" s="1532"/>
      <c r="AU160" s="542"/>
      <c r="AV160" s="1493" t="str">
        <f t="shared" ref="AV160" si="175">IF(OR(AB158&lt;&gt;7,AD158&lt;&gt;3),"V列に色付け","")</f>
        <v/>
      </c>
      <c r="AW160" s="1518"/>
      <c r="AX160" s="1507"/>
      <c r="AY160" s="671"/>
      <c r="AZ160" s="1321" t="str">
        <f>IF(AM160&lt;&gt;"",IF(AN160="○","入力済","未入力"),"")</f>
        <v/>
      </c>
      <c r="BA160" s="1321"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321" t="str">
        <f>IF(OR(U160="新加算Ⅴ（７）",U160="新加算Ⅴ（９）",U160="新加算Ⅴ（10）",U160="新加算Ⅴ（12）",U160="新加算Ⅴ（13）",U160="新加算Ⅴ（14）"),IF(OR(AP160="○",AP160="令和６年度中に満たす"),"入力済","未入力"),"")</f>
        <v/>
      </c>
      <c r="BC160" s="1321" t="str">
        <f>IF(OR(U160="新加算Ⅰ",U160="新加算Ⅱ",U160="新加算Ⅲ",U160="新加算Ⅴ（１）",U160="新加算Ⅴ（３）",U160="新加算Ⅴ（８）"),IF(OR(AQ160="○",AQ160="令和６年度中に満たす"),"入力済","未入力"),"")</f>
        <v/>
      </c>
      <c r="BD160" s="1588"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493" t="str">
        <f>IF(OR(U160="新加算Ⅰ",U160="新加算Ⅴ（１）",U160="新加算Ⅴ（２）",U160="新加算Ⅴ（５）",U160="新加算Ⅴ（７）",U160="新加算Ⅴ（10）"),IF(AS160="","未入力","入力済"),"")</f>
        <v/>
      </c>
      <c r="BF160" s="1493" t="str">
        <f>G158</f>
        <v/>
      </c>
      <c r="BG160" s="1493"/>
      <c r="BH160" s="1493"/>
    </row>
    <row r="161" spans="1:60" ht="30" customHeight="1" thickBot="1">
      <c r="A161" s="1227"/>
      <c r="B161" s="1376"/>
      <c r="C161" s="1377"/>
      <c r="D161" s="1377"/>
      <c r="E161" s="1377"/>
      <c r="F161" s="1378"/>
      <c r="G161" s="1267"/>
      <c r="H161" s="1267"/>
      <c r="I161" s="1267"/>
      <c r="J161" s="1373"/>
      <c r="K161" s="1267"/>
      <c r="L161" s="1452"/>
      <c r="M161" s="1454"/>
      <c r="N161" s="650" t="str">
        <f>IF('別紙様式2-2（４・５月分）'!Q124="","",'別紙様式2-2（４・５月分）'!Q124)</f>
        <v/>
      </c>
      <c r="O161" s="1369"/>
      <c r="P161" s="1391"/>
      <c r="Q161" s="1505"/>
      <c r="R161" s="1389"/>
      <c r="S161" s="1395"/>
      <c r="T161" s="1460"/>
      <c r="U161" s="1570"/>
      <c r="V161" s="1464"/>
      <c r="W161" s="1466"/>
      <c r="X161" s="1565"/>
      <c r="Y161" s="1408"/>
      <c r="Z161" s="1565"/>
      <c r="AA161" s="1408"/>
      <c r="AB161" s="1565"/>
      <c r="AC161" s="1408"/>
      <c r="AD161" s="1565"/>
      <c r="AE161" s="1408"/>
      <c r="AF161" s="1408"/>
      <c r="AG161" s="1408"/>
      <c r="AH161" s="1410"/>
      <c r="AI161" s="1412"/>
      <c r="AJ161" s="1578"/>
      <c r="AK161" s="1495"/>
      <c r="AL161" s="1580"/>
      <c r="AM161" s="1586"/>
      <c r="AN161" s="1549"/>
      <c r="AO161" s="1555"/>
      <c r="AP161" s="1553"/>
      <c r="AQ161" s="1555"/>
      <c r="AR161" s="1557"/>
      <c r="AS161" s="1559"/>
      <c r="AT161" s="672" t="str">
        <f t="shared" ref="AT161" si="176">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42"/>
      <c r="AV161" s="1493"/>
      <c r="AW161" s="652" t="str">
        <f>IF('別紙様式2-2（４・５月分）'!O124="","",'別紙様式2-2（４・５月分）'!O124)</f>
        <v/>
      </c>
      <c r="AX161" s="1507"/>
      <c r="AY161" s="673"/>
      <c r="AZ161" s="1321" t="str">
        <f>IF(OR(U161="新加算Ⅰ",U161="新加算Ⅱ",U161="新加算Ⅲ",U161="新加算Ⅳ",U161="新加算Ⅴ（１）",U161="新加算Ⅴ（２）",U161="新加算Ⅴ（３）",U161="新加算ⅠⅤ（４）",U161="新加算Ⅴ（５）",U161="新加算Ⅴ（６）",U161="新加算Ⅴ（８）",U161="新加算Ⅴ（11）"),IF(AJ161="○","","未入力"),"")</f>
        <v/>
      </c>
      <c r="BA161" s="1321" t="str">
        <f>IF(OR(V161="新加算Ⅰ",V161="新加算Ⅱ",V161="新加算Ⅲ",V161="新加算Ⅳ",V161="新加算Ⅴ（１）",V161="新加算Ⅴ（２）",V161="新加算Ⅴ（３）",V161="新加算ⅠⅤ（４）",V161="新加算Ⅴ（５）",V161="新加算Ⅴ（６）",V161="新加算Ⅴ（８）",V161="新加算Ⅴ（11）"),IF(AK161="○","","未入力"),"")</f>
        <v/>
      </c>
      <c r="BB161" s="1321" t="str">
        <f>IF(OR(V161="新加算Ⅴ（７）",V161="新加算Ⅴ（９）",V161="新加算Ⅴ（10）",V161="新加算Ⅴ（12）",V161="新加算Ⅴ（13）",V161="新加算Ⅴ（14）"),IF(AL161="○","","未入力"),"")</f>
        <v/>
      </c>
      <c r="BC161" s="1321" t="str">
        <f>IF(OR(V161="新加算Ⅰ",V161="新加算Ⅱ",V161="新加算Ⅲ",V161="新加算Ⅴ（１）",V161="新加算Ⅴ（３）",V161="新加算Ⅴ（８）"),IF(AM161="○","","未入力"),"")</f>
        <v/>
      </c>
      <c r="BD161" s="1588"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493" t="str">
        <f>IF(AND(U161&lt;&gt;"（参考）令和７年度の移行予定",OR(V161="新加算Ⅰ",V161="新加算Ⅴ（１）",V161="新加算Ⅴ（２）",V161="新加算Ⅴ（５）",V161="新加算Ⅴ（７）",V161="新加算Ⅴ（10）")),IF(AO161="","未入力",IF(AO161="いずれも取得していない","要件を満たさない","")),"")</f>
        <v/>
      </c>
      <c r="BF161" s="1493" t="str">
        <f>G158</f>
        <v/>
      </c>
      <c r="BG161" s="1493"/>
      <c r="BH161" s="1493"/>
    </row>
    <row r="162" spans="1:60" ht="30" customHeight="1">
      <c r="A162" s="1241">
        <v>38</v>
      </c>
      <c r="B162" s="1271" t="str">
        <f>IF(基本情報入力シート!C91="","",基本情報入力シート!C91)</f>
        <v/>
      </c>
      <c r="C162" s="1259"/>
      <c r="D162" s="1259"/>
      <c r="E162" s="1259"/>
      <c r="F162" s="1260"/>
      <c r="G162" s="1265" t="str">
        <f>IF(基本情報入力シート!M91="","",基本情報入力シート!M91)</f>
        <v/>
      </c>
      <c r="H162" s="1265" t="str">
        <f>IF(基本情報入力シート!R91="","",基本情報入力シート!R91)</f>
        <v/>
      </c>
      <c r="I162" s="1265" t="str">
        <f>IF(基本情報入力シート!W91="","",基本情報入力シート!W91)</f>
        <v/>
      </c>
      <c r="J162" s="1379" t="str">
        <f>IF(基本情報入力シート!X91="","",基本情報入力シート!X91)</f>
        <v/>
      </c>
      <c r="K162" s="1265" t="str">
        <f>IF(基本情報入力シート!Y91="","",基本情報入力シート!Y91)</f>
        <v/>
      </c>
      <c r="L162" s="1450" t="str">
        <f>IF(基本情報入力シート!AB91="","",基本情報入力シート!AB91)</f>
        <v/>
      </c>
      <c r="M162" s="1447" t="str">
        <f>IF(基本情報入力シート!AC91="","",基本情報入力シート!AC91)</f>
        <v/>
      </c>
      <c r="N162" s="647" t="str">
        <f>IF('別紙様式2-2（４・５月分）'!Q125="","",'別紙様式2-2（４・５月分）'!Q125)</f>
        <v/>
      </c>
      <c r="O162" s="1366" t="str">
        <f>IF(SUM('別紙様式2-2（４・５月分）'!R125:R127)=0,"",SUM('別紙様式2-2（４・５月分）'!R125:R127))</f>
        <v/>
      </c>
      <c r="P162" s="1380" t="str">
        <f>IFERROR(VLOOKUP('別紙様式2-2（４・５月分）'!AR125,【参考】数式用!$AT$5:$AU$22,2,FALSE),"")</f>
        <v/>
      </c>
      <c r="Q162" s="1381"/>
      <c r="R162" s="1382"/>
      <c r="S162" s="1392" t="str">
        <f>IFERROR(VLOOKUP(K162,【参考】数式用!$A$5:$AB$27,MATCH(P162,【参考】数式用!$B$4:$AB$4,0)+1,0),"")</f>
        <v/>
      </c>
      <c r="T162" s="1413" t="s">
        <v>2258</v>
      </c>
      <c r="U162" s="1562" t="str">
        <f>IF('別紙様式2-3（６月以降分）'!U162="","",'別紙様式2-3（６月以降分）'!U162)</f>
        <v/>
      </c>
      <c r="V162" s="1457" t="str">
        <f>IFERROR(VLOOKUP(K162,【参考】数式用!$A$5:$AB$27,MATCH(U162,【参考】数式用!$B$4:$AB$4,0)+1,0),"")</f>
        <v/>
      </c>
      <c r="W162" s="1350" t="s">
        <v>19</v>
      </c>
      <c r="X162" s="1534">
        <f>'別紙様式2-3（６月以降分）'!X162</f>
        <v>6</v>
      </c>
      <c r="Y162" s="1354" t="s">
        <v>10</v>
      </c>
      <c r="Z162" s="1534">
        <f>'別紙様式2-3（６月以降分）'!Z162</f>
        <v>6</v>
      </c>
      <c r="AA162" s="1354" t="s">
        <v>45</v>
      </c>
      <c r="AB162" s="1534">
        <f>'別紙様式2-3（６月以降分）'!AB162</f>
        <v>7</v>
      </c>
      <c r="AC162" s="1354" t="s">
        <v>10</v>
      </c>
      <c r="AD162" s="1534">
        <f>'別紙様式2-3（６月以降分）'!AD162</f>
        <v>3</v>
      </c>
      <c r="AE162" s="1354" t="s">
        <v>2172</v>
      </c>
      <c r="AF162" s="1354" t="s">
        <v>24</v>
      </c>
      <c r="AG162" s="1354">
        <f>IF(X162&gt;=1,(AB162*12+AD162)-(X162*12+Z162)+1,"")</f>
        <v>10</v>
      </c>
      <c r="AH162" s="1360" t="s">
        <v>38</v>
      </c>
      <c r="AI162" s="1481" t="str">
        <f>'別紙様式2-3（６月以降分）'!AI162</f>
        <v/>
      </c>
      <c r="AJ162" s="1542" t="str">
        <f>'別紙様式2-3（６月以降分）'!AJ162</f>
        <v/>
      </c>
      <c r="AK162" s="1538">
        <f>'別紙様式2-3（６月以降分）'!AK162</f>
        <v>0</v>
      </c>
      <c r="AL162" s="1540" t="str">
        <f>IF('別紙様式2-3（６月以降分）'!AL162="","",'別紙様式2-3（６月以降分）'!AL162)</f>
        <v/>
      </c>
      <c r="AM162" s="1571">
        <f>'別紙様式2-3（６月以降分）'!AM162</f>
        <v>0</v>
      </c>
      <c r="AN162" s="1573" t="str">
        <f>IF('別紙様式2-3（６月以降分）'!AN162="","",'別紙様式2-3（６月以降分）'!AN162)</f>
        <v/>
      </c>
      <c r="AO162" s="1403" t="str">
        <f>IF('別紙様式2-3（６月以降分）'!AO162="","",'別紙様式2-3（６月以降分）'!AO162)</f>
        <v/>
      </c>
      <c r="AP162" s="1502" t="str">
        <f>IF('別紙様式2-3（６月以降分）'!AP162="","",'別紙様式2-3（６月以降分）'!AP162)</f>
        <v/>
      </c>
      <c r="AQ162" s="1403" t="str">
        <f>IF('別紙様式2-3（６月以降分）'!AQ162="","",'別紙様式2-3（６月以降分）'!AQ162)</f>
        <v/>
      </c>
      <c r="AR162" s="1583" t="str">
        <f>IF('別紙様式2-3（６月以降分）'!AR162="","",'別紙様式2-3（６月以降分）'!AR162)</f>
        <v/>
      </c>
      <c r="AS162" s="1536" t="str">
        <f>IF('別紙様式2-3（６月以降分）'!AS162="","",'別紙様式2-3（６月以降分）'!AS162)</f>
        <v/>
      </c>
      <c r="AT162" s="667" t="str">
        <f t="shared" ref="AT162" si="177">IF(AV164="","",IF(V164&lt;V162,"！加算の要件上は問題ありませんが、令和６年度当初の新加算の加算率と比較して、移行後の加算率が下がる計画になっています。",""))</f>
        <v/>
      </c>
      <c r="AU162" s="674"/>
      <c r="AV162" s="1233"/>
      <c r="AW162" s="652" t="str">
        <f>IF('別紙様式2-2（４・５月分）'!O125="","",'別紙様式2-2（４・５月分）'!O125)</f>
        <v/>
      </c>
      <c r="AX162" s="1507" t="str">
        <f>IF(SUM('別紙様式2-2（４・５月分）'!P125:P127)=0,"",SUM('別紙様式2-2（４・５月分）'!P125:P127))</f>
        <v/>
      </c>
      <c r="AY162" s="1589" t="str">
        <f>IFERROR(VLOOKUP(K162,【参考】数式用!$AJ$2:$AK$24,2,FALSE),"")</f>
        <v/>
      </c>
      <c r="AZ162" s="584"/>
      <c r="BE162" s="428"/>
      <c r="BF162" s="1493" t="str">
        <f>G162</f>
        <v/>
      </c>
      <c r="BG162" s="1493"/>
      <c r="BH162" s="1493"/>
    </row>
    <row r="163" spans="1:60" ht="15" customHeight="1">
      <c r="A163" s="1226"/>
      <c r="B163" s="1272"/>
      <c r="C163" s="1261"/>
      <c r="D163" s="1261"/>
      <c r="E163" s="1261"/>
      <c r="F163" s="1262"/>
      <c r="G163" s="1266"/>
      <c r="H163" s="1266"/>
      <c r="I163" s="1266"/>
      <c r="J163" s="1372"/>
      <c r="K163" s="1266"/>
      <c r="L163" s="1451"/>
      <c r="M163" s="1448"/>
      <c r="N163" s="1370" t="str">
        <f>IF('別紙様式2-2（４・５月分）'!Q126="","",'別紙様式2-2（４・５月分）'!Q126)</f>
        <v/>
      </c>
      <c r="O163" s="1367"/>
      <c r="P163" s="1383"/>
      <c r="Q163" s="1384"/>
      <c r="R163" s="1385"/>
      <c r="S163" s="1393"/>
      <c r="T163" s="1414"/>
      <c r="U163" s="1563"/>
      <c r="V163" s="1458"/>
      <c r="W163" s="1351"/>
      <c r="X163" s="1535"/>
      <c r="Y163" s="1355"/>
      <c r="Z163" s="1535"/>
      <c r="AA163" s="1355"/>
      <c r="AB163" s="1535"/>
      <c r="AC163" s="1355"/>
      <c r="AD163" s="1535"/>
      <c r="AE163" s="1355"/>
      <c r="AF163" s="1355"/>
      <c r="AG163" s="1355"/>
      <c r="AH163" s="1361"/>
      <c r="AI163" s="1482"/>
      <c r="AJ163" s="1543"/>
      <c r="AK163" s="1539"/>
      <c r="AL163" s="1541"/>
      <c r="AM163" s="1572"/>
      <c r="AN163" s="1574"/>
      <c r="AO163" s="1404"/>
      <c r="AP163" s="1533"/>
      <c r="AQ163" s="1404"/>
      <c r="AR163" s="1584"/>
      <c r="AS163" s="1537"/>
      <c r="AT163" s="1532" t="str">
        <f t="shared" ref="AT163" si="178">IF(AV164="","",IF(OR(AB164="",AB164&lt;&gt;7,AD164="",AD164&lt;&gt;3),"！算定期間の終わりが令和７年３月になっていません。年度内の廃止予定等がなければ、算定対象月を令和７年３月にしてください。",""))</f>
        <v/>
      </c>
      <c r="AU163" s="674"/>
      <c r="AV163" s="1493"/>
      <c r="AW163" s="1518" t="str">
        <f>IF('別紙様式2-2（４・５月分）'!O126="","",'別紙様式2-2（４・５月分）'!O126)</f>
        <v/>
      </c>
      <c r="AX163" s="1507"/>
      <c r="AY163" s="1589"/>
      <c r="AZ163" s="521"/>
      <c r="BE163" s="428"/>
      <c r="BF163" s="1493" t="str">
        <f>G162</f>
        <v/>
      </c>
      <c r="BG163" s="1493"/>
      <c r="BH163" s="1493"/>
    </row>
    <row r="164" spans="1:60" ht="15" customHeight="1">
      <c r="A164" s="1240"/>
      <c r="B164" s="1272"/>
      <c r="C164" s="1261"/>
      <c r="D164" s="1261"/>
      <c r="E164" s="1261"/>
      <c r="F164" s="1262"/>
      <c r="G164" s="1266"/>
      <c r="H164" s="1266"/>
      <c r="I164" s="1266"/>
      <c r="J164" s="1372"/>
      <c r="K164" s="1266"/>
      <c r="L164" s="1451"/>
      <c r="M164" s="1448"/>
      <c r="N164" s="1371"/>
      <c r="O164" s="1368"/>
      <c r="P164" s="1390" t="s">
        <v>2179</v>
      </c>
      <c r="Q164" s="1504" t="str">
        <f>IFERROR(VLOOKUP('別紙様式2-2（４・５月分）'!AR125,【参考】数式用!$AT$5:$AV$22,3,FALSE),"")</f>
        <v/>
      </c>
      <c r="R164" s="1388" t="s">
        <v>2190</v>
      </c>
      <c r="S164" s="1396" t="str">
        <f>IFERROR(VLOOKUP(K162,【参考】数式用!$A$5:$AB$27,MATCH(Q164,【参考】数式用!$B$4:$AB$4,0)+1,0),"")</f>
        <v/>
      </c>
      <c r="T164" s="1459" t="s">
        <v>2267</v>
      </c>
      <c r="U164" s="1569"/>
      <c r="V164" s="1463" t="str">
        <f>IFERROR(VLOOKUP(K162,【参考】数式用!$A$5:$AB$27,MATCH(U164,【参考】数式用!$B$4:$AB$4,0)+1,0),"")</f>
        <v/>
      </c>
      <c r="W164" s="1465" t="s">
        <v>19</v>
      </c>
      <c r="X164" s="1564"/>
      <c r="Y164" s="1407" t="s">
        <v>10</v>
      </c>
      <c r="Z164" s="1564"/>
      <c r="AA164" s="1407" t="s">
        <v>45</v>
      </c>
      <c r="AB164" s="1564"/>
      <c r="AC164" s="1407" t="s">
        <v>10</v>
      </c>
      <c r="AD164" s="1564"/>
      <c r="AE164" s="1407" t="s">
        <v>2172</v>
      </c>
      <c r="AF164" s="1407" t="s">
        <v>24</v>
      </c>
      <c r="AG164" s="1407" t="str">
        <f>IF(X164&gt;=1,(AB164*12+AD164)-(X164*12+Z164)+1,"")</f>
        <v/>
      </c>
      <c r="AH164" s="1409" t="s">
        <v>38</v>
      </c>
      <c r="AI164" s="1411" t="str">
        <f t="shared" ref="AI164" si="179">IFERROR(ROUNDDOWN(ROUND(L162*V164,0)*M162,0)*AG164,"")</f>
        <v/>
      </c>
      <c r="AJ164" s="1577" t="str">
        <f>IFERROR(ROUNDDOWN(ROUND((L162*(V164-AX162)),0)*M162,0)*AG164,"")</f>
        <v/>
      </c>
      <c r="AK164" s="1494" t="str">
        <f>IFERROR(ROUNDDOWN(ROUNDDOWN(ROUND(L162*VLOOKUP(K162,【参考】数式用!$A$5:$AB$27,MATCH("新加算Ⅳ",【参考】数式用!$B$4:$AB$4,0)+1,0),0)*M162,0)*AG164*0.5,0),"")</f>
        <v/>
      </c>
      <c r="AL164" s="1579"/>
      <c r="AM164" s="1585" t="str">
        <f>IFERROR(IF('別紙様式2-2（４・５月分）'!Q127="ベア加算","", IF(OR(U164="新加算Ⅰ",U164="新加算Ⅱ",U164="新加算Ⅲ",U164="新加算Ⅳ"),ROUNDDOWN(ROUND(L162*VLOOKUP(K162,【参考】数式用!$A$5:$I$27,MATCH("ベア加算",【参考】数式用!$B$4:$I$4,0)+1,0),0)*M162,0)*AG164,"")),"")</f>
        <v/>
      </c>
      <c r="AN164" s="1548"/>
      <c r="AO164" s="1554"/>
      <c r="AP164" s="1552"/>
      <c r="AQ164" s="1554"/>
      <c r="AR164" s="1556"/>
      <c r="AS164" s="1558"/>
      <c r="AT164" s="1532"/>
      <c r="AU164" s="542"/>
      <c r="AV164" s="1493" t="str">
        <f t="shared" ref="AV164" si="180">IF(OR(AB162&lt;&gt;7,AD162&lt;&gt;3),"V列に色付け","")</f>
        <v/>
      </c>
      <c r="AW164" s="1518"/>
      <c r="AX164" s="1507"/>
      <c r="AY164" s="671"/>
      <c r="AZ164" s="1321" t="str">
        <f>IF(AM164&lt;&gt;"",IF(AN164="○","入力済","未入力"),"")</f>
        <v/>
      </c>
      <c r="BA164" s="1321"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321" t="str">
        <f>IF(OR(U164="新加算Ⅴ（７）",U164="新加算Ⅴ（９）",U164="新加算Ⅴ（10）",U164="新加算Ⅴ（12）",U164="新加算Ⅴ（13）",U164="新加算Ⅴ（14）"),IF(OR(AP164="○",AP164="令和６年度中に満たす"),"入力済","未入力"),"")</f>
        <v/>
      </c>
      <c r="BC164" s="1321" t="str">
        <f>IF(OR(U164="新加算Ⅰ",U164="新加算Ⅱ",U164="新加算Ⅲ",U164="新加算Ⅴ（１）",U164="新加算Ⅴ（３）",U164="新加算Ⅴ（８）"),IF(OR(AQ164="○",AQ164="令和６年度中に満たす"),"入力済","未入力"),"")</f>
        <v/>
      </c>
      <c r="BD164" s="1588"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493" t="str">
        <f>IF(OR(U164="新加算Ⅰ",U164="新加算Ⅴ（１）",U164="新加算Ⅴ（２）",U164="新加算Ⅴ（５）",U164="新加算Ⅴ（７）",U164="新加算Ⅴ（10）"),IF(AS164="","未入力","入力済"),"")</f>
        <v/>
      </c>
      <c r="BF164" s="1493" t="str">
        <f>G162</f>
        <v/>
      </c>
      <c r="BG164" s="1493"/>
      <c r="BH164" s="1493"/>
    </row>
    <row r="165" spans="1:60" ht="30" customHeight="1" thickBot="1">
      <c r="A165" s="1227"/>
      <c r="B165" s="1376"/>
      <c r="C165" s="1377"/>
      <c r="D165" s="1377"/>
      <c r="E165" s="1377"/>
      <c r="F165" s="1378"/>
      <c r="G165" s="1267"/>
      <c r="H165" s="1267"/>
      <c r="I165" s="1267"/>
      <c r="J165" s="1373"/>
      <c r="K165" s="1267"/>
      <c r="L165" s="1452"/>
      <c r="M165" s="1449"/>
      <c r="N165" s="650" t="str">
        <f>IF('別紙様式2-2（４・５月分）'!Q127="","",'別紙様式2-2（４・５月分）'!Q127)</f>
        <v/>
      </c>
      <c r="O165" s="1369"/>
      <c r="P165" s="1391"/>
      <c r="Q165" s="1505"/>
      <c r="R165" s="1389"/>
      <c r="S165" s="1395"/>
      <c r="T165" s="1460"/>
      <c r="U165" s="1570"/>
      <c r="V165" s="1464"/>
      <c r="W165" s="1466"/>
      <c r="X165" s="1565"/>
      <c r="Y165" s="1408"/>
      <c r="Z165" s="1565"/>
      <c r="AA165" s="1408"/>
      <c r="AB165" s="1565"/>
      <c r="AC165" s="1408"/>
      <c r="AD165" s="1565"/>
      <c r="AE165" s="1408"/>
      <c r="AF165" s="1408"/>
      <c r="AG165" s="1408"/>
      <c r="AH165" s="1410"/>
      <c r="AI165" s="1412"/>
      <c r="AJ165" s="1578"/>
      <c r="AK165" s="1495"/>
      <c r="AL165" s="1580"/>
      <c r="AM165" s="1586"/>
      <c r="AN165" s="1549"/>
      <c r="AO165" s="1555"/>
      <c r="AP165" s="1553"/>
      <c r="AQ165" s="1555"/>
      <c r="AR165" s="1557"/>
      <c r="AS165" s="1559"/>
      <c r="AT165" s="672" t="str">
        <f t="shared" ref="AT165" si="181">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42"/>
      <c r="AV165" s="1493"/>
      <c r="AW165" s="652" t="str">
        <f>IF('別紙様式2-2（４・５月分）'!O127="","",'別紙様式2-2（４・５月分）'!O127)</f>
        <v/>
      </c>
      <c r="AX165" s="1507"/>
      <c r="AY165" s="673"/>
      <c r="AZ165" s="1321" t="str">
        <f>IF(OR(U165="新加算Ⅰ",U165="新加算Ⅱ",U165="新加算Ⅲ",U165="新加算Ⅳ",U165="新加算Ⅴ（１）",U165="新加算Ⅴ（２）",U165="新加算Ⅴ（３）",U165="新加算ⅠⅤ（４）",U165="新加算Ⅴ（５）",U165="新加算Ⅴ（６）",U165="新加算Ⅴ（８）",U165="新加算Ⅴ（11）"),IF(AJ165="○","","未入力"),"")</f>
        <v/>
      </c>
      <c r="BA165" s="1321" t="str">
        <f>IF(OR(V165="新加算Ⅰ",V165="新加算Ⅱ",V165="新加算Ⅲ",V165="新加算Ⅳ",V165="新加算Ⅴ（１）",V165="新加算Ⅴ（２）",V165="新加算Ⅴ（３）",V165="新加算ⅠⅤ（４）",V165="新加算Ⅴ（５）",V165="新加算Ⅴ（６）",V165="新加算Ⅴ（８）",V165="新加算Ⅴ（11）"),IF(AK165="○","","未入力"),"")</f>
        <v/>
      </c>
      <c r="BB165" s="1321" t="str">
        <f>IF(OR(V165="新加算Ⅴ（７）",V165="新加算Ⅴ（９）",V165="新加算Ⅴ（10）",V165="新加算Ⅴ（12）",V165="新加算Ⅴ（13）",V165="新加算Ⅴ（14）"),IF(AL165="○","","未入力"),"")</f>
        <v/>
      </c>
      <c r="BC165" s="1321" t="str">
        <f>IF(OR(V165="新加算Ⅰ",V165="新加算Ⅱ",V165="新加算Ⅲ",V165="新加算Ⅴ（１）",V165="新加算Ⅴ（３）",V165="新加算Ⅴ（８）"),IF(AM165="○","","未入力"),"")</f>
        <v/>
      </c>
      <c r="BD165" s="1588"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493" t="str">
        <f>IF(AND(U165&lt;&gt;"（参考）令和７年度の移行予定",OR(V165="新加算Ⅰ",V165="新加算Ⅴ（１）",V165="新加算Ⅴ（２）",V165="新加算Ⅴ（５）",V165="新加算Ⅴ（７）",V165="新加算Ⅴ（10）")),IF(AO165="","未入力",IF(AO165="いずれも取得していない","要件を満たさない","")),"")</f>
        <v/>
      </c>
      <c r="BF165" s="1493" t="str">
        <f>G162</f>
        <v/>
      </c>
      <c r="BG165" s="1493"/>
      <c r="BH165" s="1493"/>
    </row>
    <row r="166" spans="1:60" ht="30" customHeight="1">
      <c r="A166" s="1225">
        <v>39</v>
      </c>
      <c r="B166" s="1272" t="str">
        <f>IF(基本情報入力シート!C92="","",基本情報入力シート!C92)</f>
        <v/>
      </c>
      <c r="C166" s="1261"/>
      <c r="D166" s="1261"/>
      <c r="E166" s="1261"/>
      <c r="F166" s="1262"/>
      <c r="G166" s="1266" t="str">
        <f>IF(基本情報入力シート!M92="","",基本情報入力シート!M92)</f>
        <v/>
      </c>
      <c r="H166" s="1266" t="str">
        <f>IF(基本情報入力シート!R92="","",基本情報入力シート!R92)</f>
        <v/>
      </c>
      <c r="I166" s="1266" t="str">
        <f>IF(基本情報入力シート!W92="","",基本情報入力シート!W92)</f>
        <v/>
      </c>
      <c r="J166" s="1372" t="str">
        <f>IF(基本情報入力シート!X92="","",基本情報入力シート!X92)</f>
        <v/>
      </c>
      <c r="K166" s="1266" t="str">
        <f>IF(基本情報入力シート!Y92="","",基本情報入力シート!Y92)</f>
        <v/>
      </c>
      <c r="L166" s="1451" t="str">
        <f>IF(基本情報入力シート!AB92="","",基本情報入力シート!AB92)</f>
        <v/>
      </c>
      <c r="M166" s="1453" t="str">
        <f>IF(基本情報入力シート!AC92="","",基本情報入力シート!AC92)</f>
        <v/>
      </c>
      <c r="N166" s="647" t="str">
        <f>IF('別紙様式2-2（４・５月分）'!Q128="","",'別紙様式2-2（４・５月分）'!Q128)</f>
        <v/>
      </c>
      <c r="O166" s="1366" t="str">
        <f>IF(SUM('別紙様式2-2（４・５月分）'!R128:R130)=0,"",SUM('別紙様式2-2（４・５月分）'!R128:R130))</f>
        <v/>
      </c>
      <c r="P166" s="1380" t="str">
        <f>IFERROR(VLOOKUP('別紙様式2-2（４・５月分）'!AR128,【参考】数式用!$AT$5:$AU$22,2,FALSE),"")</f>
        <v/>
      </c>
      <c r="Q166" s="1381"/>
      <c r="R166" s="1382"/>
      <c r="S166" s="1392" t="str">
        <f>IFERROR(VLOOKUP(K166,【参考】数式用!$A$5:$AB$27,MATCH(P166,【参考】数式用!$B$4:$AB$4,0)+1,0),"")</f>
        <v/>
      </c>
      <c r="T166" s="1413" t="s">
        <v>2258</v>
      </c>
      <c r="U166" s="1562" t="str">
        <f>IF('別紙様式2-3（６月以降分）'!U166="","",'別紙様式2-3（６月以降分）'!U166)</f>
        <v/>
      </c>
      <c r="V166" s="1457" t="str">
        <f>IFERROR(VLOOKUP(K166,【参考】数式用!$A$5:$AB$27,MATCH(U166,【参考】数式用!$B$4:$AB$4,0)+1,0),"")</f>
        <v/>
      </c>
      <c r="W166" s="1350" t="s">
        <v>19</v>
      </c>
      <c r="X166" s="1534">
        <f>'別紙様式2-3（６月以降分）'!X166</f>
        <v>6</v>
      </c>
      <c r="Y166" s="1354" t="s">
        <v>10</v>
      </c>
      <c r="Z166" s="1534">
        <f>'別紙様式2-3（６月以降分）'!Z166</f>
        <v>6</v>
      </c>
      <c r="AA166" s="1354" t="s">
        <v>45</v>
      </c>
      <c r="AB166" s="1534">
        <f>'別紙様式2-3（６月以降分）'!AB166</f>
        <v>7</v>
      </c>
      <c r="AC166" s="1354" t="s">
        <v>10</v>
      </c>
      <c r="AD166" s="1534">
        <f>'別紙様式2-3（６月以降分）'!AD166</f>
        <v>3</v>
      </c>
      <c r="AE166" s="1354" t="s">
        <v>2172</v>
      </c>
      <c r="AF166" s="1354" t="s">
        <v>24</v>
      </c>
      <c r="AG166" s="1354">
        <f>IF(X166&gt;=1,(AB166*12+AD166)-(X166*12+Z166)+1,"")</f>
        <v>10</v>
      </c>
      <c r="AH166" s="1360" t="s">
        <v>38</v>
      </c>
      <c r="AI166" s="1481" t="str">
        <f>'別紙様式2-3（６月以降分）'!AI166</f>
        <v/>
      </c>
      <c r="AJ166" s="1542" t="str">
        <f>'別紙様式2-3（６月以降分）'!AJ166</f>
        <v/>
      </c>
      <c r="AK166" s="1538">
        <f>'別紙様式2-3（６月以降分）'!AK166</f>
        <v>0</v>
      </c>
      <c r="AL166" s="1540" t="str">
        <f>IF('別紙様式2-3（６月以降分）'!AL166="","",'別紙様式2-3（６月以降分）'!AL166)</f>
        <v/>
      </c>
      <c r="AM166" s="1571">
        <f>'別紙様式2-3（６月以降分）'!AM166</f>
        <v>0</v>
      </c>
      <c r="AN166" s="1573" t="str">
        <f>IF('別紙様式2-3（６月以降分）'!AN166="","",'別紙様式2-3（６月以降分）'!AN166)</f>
        <v/>
      </c>
      <c r="AO166" s="1403" t="str">
        <f>IF('別紙様式2-3（６月以降分）'!AO166="","",'別紙様式2-3（６月以降分）'!AO166)</f>
        <v/>
      </c>
      <c r="AP166" s="1502" t="str">
        <f>IF('別紙様式2-3（６月以降分）'!AP166="","",'別紙様式2-3（６月以降分）'!AP166)</f>
        <v/>
      </c>
      <c r="AQ166" s="1403" t="str">
        <f>IF('別紙様式2-3（６月以降分）'!AQ166="","",'別紙様式2-3（６月以降分）'!AQ166)</f>
        <v/>
      </c>
      <c r="AR166" s="1583" t="str">
        <f>IF('別紙様式2-3（６月以降分）'!AR166="","",'別紙様式2-3（６月以降分）'!AR166)</f>
        <v/>
      </c>
      <c r="AS166" s="1536" t="str">
        <f>IF('別紙様式2-3（６月以降分）'!AS166="","",'別紙様式2-3（６月以降分）'!AS166)</f>
        <v/>
      </c>
      <c r="AT166" s="667" t="str">
        <f t="shared" ref="AT166" si="182">IF(AV168="","",IF(V168&lt;V166,"！加算の要件上は問題ありませんが、令和６年度当初の新加算の加算率と比較して、移行後の加算率が下がる計画になっています。",""))</f>
        <v/>
      </c>
      <c r="AU166" s="674"/>
      <c r="AV166" s="1233"/>
      <c r="AW166" s="652" t="str">
        <f>IF('別紙様式2-2（４・５月分）'!O128="","",'別紙様式2-2（４・５月分）'!O128)</f>
        <v/>
      </c>
      <c r="AX166" s="1507" t="str">
        <f>IF(SUM('別紙様式2-2（４・５月分）'!P128:P130)=0,"",SUM('別紙様式2-2（４・５月分）'!P128:P130))</f>
        <v/>
      </c>
      <c r="AY166" s="1590" t="str">
        <f>IFERROR(VLOOKUP(K166,【参考】数式用!$AJ$2:$AK$24,2,FALSE),"")</f>
        <v/>
      </c>
      <c r="AZ166" s="584"/>
      <c r="BE166" s="428"/>
      <c r="BF166" s="1493" t="str">
        <f>G166</f>
        <v/>
      </c>
      <c r="BG166" s="1493"/>
      <c r="BH166" s="1493"/>
    </row>
    <row r="167" spans="1:60" ht="15" customHeight="1">
      <c r="A167" s="1226"/>
      <c r="B167" s="1272"/>
      <c r="C167" s="1261"/>
      <c r="D167" s="1261"/>
      <c r="E167" s="1261"/>
      <c r="F167" s="1262"/>
      <c r="G167" s="1266"/>
      <c r="H167" s="1266"/>
      <c r="I167" s="1266"/>
      <c r="J167" s="1372"/>
      <c r="K167" s="1266"/>
      <c r="L167" s="1451"/>
      <c r="M167" s="1453"/>
      <c r="N167" s="1370" t="str">
        <f>IF('別紙様式2-2（４・５月分）'!Q129="","",'別紙様式2-2（４・５月分）'!Q129)</f>
        <v/>
      </c>
      <c r="O167" s="1367"/>
      <c r="P167" s="1383"/>
      <c r="Q167" s="1384"/>
      <c r="R167" s="1385"/>
      <c r="S167" s="1393"/>
      <c r="T167" s="1414"/>
      <c r="U167" s="1563"/>
      <c r="V167" s="1458"/>
      <c r="W167" s="1351"/>
      <c r="X167" s="1535"/>
      <c r="Y167" s="1355"/>
      <c r="Z167" s="1535"/>
      <c r="AA167" s="1355"/>
      <c r="AB167" s="1535"/>
      <c r="AC167" s="1355"/>
      <c r="AD167" s="1535"/>
      <c r="AE167" s="1355"/>
      <c r="AF167" s="1355"/>
      <c r="AG167" s="1355"/>
      <c r="AH167" s="1361"/>
      <c r="AI167" s="1482"/>
      <c r="AJ167" s="1543"/>
      <c r="AK167" s="1539"/>
      <c r="AL167" s="1541"/>
      <c r="AM167" s="1572"/>
      <c r="AN167" s="1574"/>
      <c r="AO167" s="1404"/>
      <c r="AP167" s="1533"/>
      <c r="AQ167" s="1404"/>
      <c r="AR167" s="1584"/>
      <c r="AS167" s="1537"/>
      <c r="AT167" s="1532" t="str">
        <f t="shared" ref="AT167" si="183">IF(AV168="","",IF(OR(AB168="",AB168&lt;&gt;7,AD168="",AD168&lt;&gt;3),"！算定期間の終わりが令和７年３月になっていません。年度内の廃止予定等がなければ、算定対象月を令和７年３月にしてください。",""))</f>
        <v/>
      </c>
      <c r="AU167" s="674"/>
      <c r="AV167" s="1493"/>
      <c r="AW167" s="1518" t="str">
        <f>IF('別紙様式2-2（４・５月分）'!O129="","",'別紙様式2-2（４・５月分）'!O129)</f>
        <v/>
      </c>
      <c r="AX167" s="1507"/>
      <c r="AY167" s="1589"/>
      <c r="AZ167" s="521"/>
      <c r="BE167" s="428"/>
      <c r="BF167" s="1493" t="str">
        <f>G166</f>
        <v/>
      </c>
      <c r="BG167" s="1493"/>
      <c r="BH167" s="1493"/>
    </row>
    <row r="168" spans="1:60" ht="15" customHeight="1">
      <c r="A168" s="1240"/>
      <c r="B168" s="1272"/>
      <c r="C168" s="1261"/>
      <c r="D168" s="1261"/>
      <c r="E168" s="1261"/>
      <c r="F168" s="1262"/>
      <c r="G168" s="1266"/>
      <c r="H168" s="1266"/>
      <c r="I168" s="1266"/>
      <c r="J168" s="1372"/>
      <c r="K168" s="1266"/>
      <c r="L168" s="1451"/>
      <c r="M168" s="1453"/>
      <c r="N168" s="1371"/>
      <c r="O168" s="1368"/>
      <c r="P168" s="1390" t="s">
        <v>2179</v>
      </c>
      <c r="Q168" s="1504" t="str">
        <f>IFERROR(VLOOKUP('別紙様式2-2（４・５月分）'!AR128,【参考】数式用!$AT$5:$AV$22,3,FALSE),"")</f>
        <v/>
      </c>
      <c r="R168" s="1388" t="s">
        <v>2190</v>
      </c>
      <c r="S168" s="1394" t="str">
        <f>IFERROR(VLOOKUP(K166,【参考】数式用!$A$5:$AB$27,MATCH(Q168,【参考】数式用!$B$4:$AB$4,0)+1,0),"")</f>
        <v/>
      </c>
      <c r="T168" s="1459" t="s">
        <v>2267</v>
      </c>
      <c r="U168" s="1569"/>
      <c r="V168" s="1463" t="str">
        <f>IFERROR(VLOOKUP(K166,【参考】数式用!$A$5:$AB$27,MATCH(U168,【参考】数式用!$B$4:$AB$4,0)+1,0),"")</f>
        <v/>
      </c>
      <c r="W168" s="1465" t="s">
        <v>19</v>
      </c>
      <c r="X168" s="1564"/>
      <c r="Y168" s="1407" t="s">
        <v>10</v>
      </c>
      <c r="Z168" s="1564"/>
      <c r="AA168" s="1407" t="s">
        <v>45</v>
      </c>
      <c r="AB168" s="1564"/>
      <c r="AC168" s="1407" t="s">
        <v>10</v>
      </c>
      <c r="AD168" s="1564"/>
      <c r="AE168" s="1407" t="s">
        <v>2172</v>
      </c>
      <c r="AF168" s="1407" t="s">
        <v>24</v>
      </c>
      <c r="AG168" s="1407" t="str">
        <f>IF(X168&gt;=1,(AB168*12+AD168)-(X168*12+Z168)+1,"")</f>
        <v/>
      </c>
      <c r="AH168" s="1409" t="s">
        <v>38</v>
      </c>
      <c r="AI168" s="1411" t="str">
        <f t="shared" ref="AI168" si="184">IFERROR(ROUNDDOWN(ROUND(L166*V168,0)*M166,0)*AG168,"")</f>
        <v/>
      </c>
      <c r="AJ168" s="1577" t="str">
        <f>IFERROR(ROUNDDOWN(ROUND((L166*(V168-AX166)),0)*M166,0)*AG168,"")</f>
        <v/>
      </c>
      <c r="AK168" s="1494" t="str">
        <f>IFERROR(ROUNDDOWN(ROUNDDOWN(ROUND(L166*VLOOKUP(K166,【参考】数式用!$A$5:$AB$27,MATCH("新加算Ⅳ",【参考】数式用!$B$4:$AB$4,0)+1,0),0)*M166,0)*AG168*0.5,0),"")</f>
        <v/>
      </c>
      <c r="AL168" s="1579"/>
      <c r="AM168" s="1585" t="str">
        <f>IFERROR(IF('別紙様式2-2（４・５月分）'!Q130="ベア加算","", IF(OR(U168="新加算Ⅰ",U168="新加算Ⅱ",U168="新加算Ⅲ",U168="新加算Ⅳ"),ROUNDDOWN(ROUND(L166*VLOOKUP(K166,【参考】数式用!$A$5:$I$27,MATCH("ベア加算",【参考】数式用!$B$4:$I$4,0)+1,0),0)*M166,0)*AG168,"")),"")</f>
        <v/>
      </c>
      <c r="AN168" s="1548"/>
      <c r="AO168" s="1554"/>
      <c r="AP168" s="1552"/>
      <c r="AQ168" s="1554"/>
      <c r="AR168" s="1556"/>
      <c r="AS168" s="1558"/>
      <c r="AT168" s="1532"/>
      <c r="AU168" s="542"/>
      <c r="AV168" s="1493" t="str">
        <f t="shared" ref="AV168" si="185">IF(OR(AB166&lt;&gt;7,AD166&lt;&gt;3),"V列に色付け","")</f>
        <v/>
      </c>
      <c r="AW168" s="1518"/>
      <c r="AX168" s="1507"/>
      <c r="AY168" s="671"/>
      <c r="AZ168" s="1321" t="str">
        <f>IF(AM168&lt;&gt;"",IF(AN168="○","入力済","未入力"),"")</f>
        <v/>
      </c>
      <c r="BA168" s="1321"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321" t="str">
        <f>IF(OR(U168="新加算Ⅴ（７）",U168="新加算Ⅴ（９）",U168="新加算Ⅴ（10）",U168="新加算Ⅴ（12）",U168="新加算Ⅴ（13）",U168="新加算Ⅴ（14）"),IF(OR(AP168="○",AP168="令和６年度中に満たす"),"入力済","未入力"),"")</f>
        <v/>
      </c>
      <c r="BC168" s="1321" t="str">
        <f>IF(OR(U168="新加算Ⅰ",U168="新加算Ⅱ",U168="新加算Ⅲ",U168="新加算Ⅴ（１）",U168="新加算Ⅴ（３）",U168="新加算Ⅴ（８）"),IF(OR(AQ168="○",AQ168="令和６年度中に満たす"),"入力済","未入力"),"")</f>
        <v/>
      </c>
      <c r="BD168" s="1588"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493" t="str">
        <f>IF(OR(U168="新加算Ⅰ",U168="新加算Ⅴ（１）",U168="新加算Ⅴ（２）",U168="新加算Ⅴ（５）",U168="新加算Ⅴ（７）",U168="新加算Ⅴ（10）"),IF(AS168="","未入力","入力済"),"")</f>
        <v/>
      </c>
      <c r="BF168" s="1493" t="str">
        <f>G166</f>
        <v/>
      </c>
      <c r="BG168" s="1493"/>
      <c r="BH168" s="1493"/>
    </row>
    <row r="169" spans="1:60" ht="30" customHeight="1" thickBot="1">
      <c r="A169" s="1227"/>
      <c r="B169" s="1376"/>
      <c r="C169" s="1377"/>
      <c r="D169" s="1377"/>
      <c r="E169" s="1377"/>
      <c r="F169" s="1378"/>
      <c r="G169" s="1267"/>
      <c r="H169" s="1267"/>
      <c r="I169" s="1267"/>
      <c r="J169" s="1373"/>
      <c r="K169" s="1267"/>
      <c r="L169" s="1452"/>
      <c r="M169" s="1454"/>
      <c r="N169" s="650" t="str">
        <f>IF('別紙様式2-2（４・５月分）'!Q130="","",'別紙様式2-2（４・５月分）'!Q130)</f>
        <v/>
      </c>
      <c r="O169" s="1369"/>
      <c r="P169" s="1391"/>
      <c r="Q169" s="1505"/>
      <c r="R169" s="1389"/>
      <c r="S169" s="1395"/>
      <c r="T169" s="1460"/>
      <c r="U169" s="1570"/>
      <c r="V169" s="1464"/>
      <c r="W169" s="1466"/>
      <c r="X169" s="1565"/>
      <c r="Y169" s="1408"/>
      <c r="Z169" s="1565"/>
      <c r="AA169" s="1408"/>
      <c r="AB169" s="1565"/>
      <c r="AC169" s="1408"/>
      <c r="AD169" s="1565"/>
      <c r="AE169" s="1408"/>
      <c r="AF169" s="1408"/>
      <c r="AG169" s="1408"/>
      <c r="AH169" s="1410"/>
      <c r="AI169" s="1412"/>
      <c r="AJ169" s="1578"/>
      <c r="AK169" s="1495"/>
      <c r="AL169" s="1580"/>
      <c r="AM169" s="1586"/>
      <c r="AN169" s="1549"/>
      <c r="AO169" s="1555"/>
      <c r="AP169" s="1553"/>
      <c r="AQ169" s="1555"/>
      <c r="AR169" s="1557"/>
      <c r="AS169" s="1559"/>
      <c r="AT169" s="672" t="str">
        <f t="shared" ref="AT169" si="186">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42"/>
      <c r="AV169" s="1493"/>
      <c r="AW169" s="652" t="str">
        <f>IF('別紙様式2-2（４・５月分）'!O130="","",'別紙様式2-2（４・５月分）'!O130)</f>
        <v/>
      </c>
      <c r="AX169" s="1507"/>
      <c r="AY169" s="673"/>
      <c r="AZ169" s="1321" t="str">
        <f>IF(OR(U169="新加算Ⅰ",U169="新加算Ⅱ",U169="新加算Ⅲ",U169="新加算Ⅳ",U169="新加算Ⅴ（１）",U169="新加算Ⅴ（２）",U169="新加算Ⅴ（３）",U169="新加算ⅠⅤ（４）",U169="新加算Ⅴ（５）",U169="新加算Ⅴ（６）",U169="新加算Ⅴ（８）",U169="新加算Ⅴ（11）"),IF(AJ169="○","","未入力"),"")</f>
        <v/>
      </c>
      <c r="BA169" s="1321" t="str">
        <f>IF(OR(V169="新加算Ⅰ",V169="新加算Ⅱ",V169="新加算Ⅲ",V169="新加算Ⅳ",V169="新加算Ⅴ（１）",V169="新加算Ⅴ（２）",V169="新加算Ⅴ（３）",V169="新加算ⅠⅤ（４）",V169="新加算Ⅴ（５）",V169="新加算Ⅴ（６）",V169="新加算Ⅴ（８）",V169="新加算Ⅴ（11）"),IF(AK169="○","","未入力"),"")</f>
        <v/>
      </c>
      <c r="BB169" s="1321" t="str">
        <f>IF(OR(V169="新加算Ⅴ（７）",V169="新加算Ⅴ（９）",V169="新加算Ⅴ（10）",V169="新加算Ⅴ（12）",V169="新加算Ⅴ（13）",V169="新加算Ⅴ（14）"),IF(AL169="○","","未入力"),"")</f>
        <v/>
      </c>
      <c r="BC169" s="1321" t="str">
        <f>IF(OR(V169="新加算Ⅰ",V169="新加算Ⅱ",V169="新加算Ⅲ",V169="新加算Ⅴ（１）",V169="新加算Ⅴ（３）",V169="新加算Ⅴ（８）"),IF(AM169="○","","未入力"),"")</f>
        <v/>
      </c>
      <c r="BD169" s="1588"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493" t="str">
        <f>IF(AND(U169&lt;&gt;"（参考）令和７年度の移行予定",OR(V169="新加算Ⅰ",V169="新加算Ⅴ（１）",V169="新加算Ⅴ（２）",V169="新加算Ⅴ（５）",V169="新加算Ⅴ（７）",V169="新加算Ⅴ（10）")),IF(AO169="","未入力",IF(AO169="いずれも取得していない","要件を満たさない","")),"")</f>
        <v/>
      </c>
      <c r="BF169" s="1493" t="str">
        <f>G166</f>
        <v/>
      </c>
      <c r="BG169" s="1493"/>
      <c r="BH169" s="1493"/>
    </row>
    <row r="170" spans="1:60" ht="30" customHeight="1">
      <c r="A170" s="1241">
        <v>40</v>
      </c>
      <c r="B170" s="1272" t="str">
        <f>IF(基本情報入力シート!C93="","",基本情報入力シート!C93)</f>
        <v/>
      </c>
      <c r="C170" s="1261"/>
      <c r="D170" s="1261"/>
      <c r="E170" s="1261"/>
      <c r="F170" s="1262"/>
      <c r="G170" s="1266" t="str">
        <f>IF(基本情報入力シート!M93="","",基本情報入力シート!M93)</f>
        <v/>
      </c>
      <c r="H170" s="1266" t="str">
        <f>IF(基本情報入力シート!R93="","",基本情報入力シート!R93)</f>
        <v/>
      </c>
      <c r="I170" s="1266" t="str">
        <f>IF(基本情報入力シート!W93="","",基本情報入力シート!W93)</f>
        <v/>
      </c>
      <c r="J170" s="1372" t="str">
        <f>IF(基本情報入力シート!X93="","",基本情報入力シート!X93)</f>
        <v/>
      </c>
      <c r="K170" s="1266" t="str">
        <f>IF(基本情報入力シート!Y93="","",基本情報入力シート!Y93)</f>
        <v/>
      </c>
      <c r="L170" s="1451" t="str">
        <f>IF(基本情報入力シート!AB93="","",基本情報入力シート!AB93)</f>
        <v/>
      </c>
      <c r="M170" s="1453" t="str">
        <f>IF(基本情報入力シート!AC93="","",基本情報入力シート!AC93)</f>
        <v/>
      </c>
      <c r="N170" s="647" t="str">
        <f>IF('別紙様式2-2（４・５月分）'!Q131="","",'別紙様式2-2（４・５月分）'!Q131)</f>
        <v/>
      </c>
      <c r="O170" s="1366" t="str">
        <f>IF(SUM('別紙様式2-2（４・５月分）'!R131:R133)=0,"",SUM('別紙様式2-2（４・５月分）'!R131:R133))</f>
        <v/>
      </c>
      <c r="P170" s="1380" t="str">
        <f>IFERROR(VLOOKUP('別紙様式2-2（４・５月分）'!AR131,【参考】数式用!$AT$5:$AU$22,2,FALSE),"")</f>
        <v/>
      </c>
      <c r="Q170" s="1381"/>
      <c r="R170" s="1382"/>
      <c r="S170" s="1392" t="str">
        <f>IFERROR(VLOOKUP(K170,【参考】数式用!$A$5:$AB$27,MATCH(P170,【参考】数式用!$B$4:$AB$4,0)+1,0),"")</f>
        <v/>
      </c>
      <c r="T170" s="1413" t="s">
        <v>2258</v>
      </c>
      <c r="U170" s="1562" t="str">
        <f>IF('別紙様式2-3（６月以降分）'!U170="","",'別紙様式2-3（６月以降分）'!U170)</f>
        <v/>
      </c>
      <c r="V170" s="1457" t="str">
        <f>IFERROR(VLOOKUP(K170,【参考】数式用!$A$5:$AB$27,MATCH(U170,【参考】数式用!$B$4:$AB$4,0)+1,0),"")</f>
        <v/>
      </c>
      <c r="W170" s="1350" t="s">
        <v>19</v>
      </c>
      <c r="X170" s="1534">
        <f>'別紙様式2-3（６月以降分）'!X170</f>
        <v>6</v>
      </c>
      <c r="Y170" s="1354" t="s">
        <v>10</v>
      </c>
      <c r="Z170" s="1534">
        <f>'別紙様式2-3（６月以降分）'!Z170</f>
        <v>6</v>
      </c>
      <c r="AA170" s="1354" t="s">
        <v>45</v>
      </c>
      <c r="AB170" s="1534">
        <f>'別紙様式2-3（６月以降分）'!AB170</f>
        <v>7</v>
      </c>
      <c r="AC170" s="1354" t="s">
        <v>10</v>
      </c>
      <c r="AD170" s="1534">
        <f>'別紙様式2-3（６月以降分）'!AD170</f>
        <v>3</v>
      </c>
      <c r="AE170" s="1354" t="s">
        <v>2172</v>
      </c>
      <c r="AF170" s="1354" t="s">
        <v>24</v>
      </c>
      <c r="AG170" s="1354">
        <f>IF(X170&gt;=1,(AB170*12+AD170)-(X170*12+Z170)+1,"")</f>
        <v>10</v>
      </c>
      <c r="AH170" s="1360" t="s">
        <v>38</v>
      </c>
      <c r="AI170" s="1481" t="str">
        <f>'別紙様式2-3（６月以降分）'!AI170</f>
        <v/>
      </c>
      <c r="AJ170" s="1542" t="str">
        <f>'別紙様式2-3（６月以降分）'!AJ170</f>
        <v/>
      </c>
      <c r="AK170" s="1538">
        <f>'別紙様式2-3（６月以降分）'!AK170</f>
        <v>0</v>
      </c>
      <c r="AL170" s="1540" t="str">
        <f>IF('別紙様式2-3（６月以降分）'!AL170="","",'別紙様式2-3（６月以降分）'!AL170)</f>
        <v/>
      </c>
      <c r="AM170" s="1571">
        <f>'別紙様式2-3（６月以降分）'!AM170</f>
        <v>0</v>
      </c>
      <c r="AN170" s="1573" t="str">
        <f>IF('別紙様式2-3（６月以降分）'!AN170="","",'別紙様式2-3（６月以降分）'!AN170)</f>
        <v/>
      </c>
      <c r="AO170" s="1403" t="str">
        <f>IF('別紙様式2-3（６月以降分）'!AO170="","",'別紙様式2-3（６月以降分）'!AO170)</f>
        <v/>
      </c>
      <c r="AP170" s="1502" t="str">
        <f>IF('別紙様式2-3（６月以降分）'!AP170="","",'別紙様式2-3（６月以降分）'!AP170)</f>
        <v/>
      </c>
      <c r="AQ170" s="1403" t="str">
        <f>IF('別紙様式2-3（６月以降分）'!AQ170="","",'別紙様式2-3（６月以降分）'!AQ170)</f>
        <v/>
      </c>
      <c r="AR170" s="1583" t="str">
        <f>IF('別紙様式2-3（６月以降分）'!AR170="","",'別紙様式2-3（６月以降分）'!AR170)</f>
        <v/>
      </c>
      <c r="AS170" s="1536" t="str">
        <f>IF('別紙様式2-3（６月以降分）'!AS170="","",'別紙様式2-3（６月以降分）'!AS170)</f>
        <v/>
      </c>
      <c r="AT170" s="667" t="str">
        <f t="shared" ref="AT170" si="187">IF(AV172="","",IF(V172&lt;V170,"！加算の要件上は問題ありませんが、令和６年度当初の新加算の加算率と比較して、移行後の加算率が下がる計画になっています。",""))</f>
        <v/>
      </c>
      <c r="AU170" s="674"/>
      <c r="AV170" s="1233"/>
      <c r="AW170" s="652" t="str">
        <f>IF('別紙様式2-2（４・５月分）'!O131="","",'別紙様式2-2（４・５月分）'!O131)</f>
        <v/>
      </c>
      <c r="AX170" s="1507" t="str">
        <f>IF(SUM('別紙様式2-2（４・５月分）'!P131:P133)=0,"",SUM('別紙様式2-2（４・５月分）'!P131:P133))</f>
        <v/>
      </c>
      <c r="AY170" s="1589" t="str">
        <f>IFERROR(VLOOKUP(K170,【参考】数式用!$AJ$2:$AK$24,2,FALSE),"")</f>
        <v/>
      </c>
      <c r="AZ170" s="584"/>
      <c r="BE170" s="428"/>
      <c r="BF170" s="1493" t="str">
        <f>G170</f>
        <v/>
      </c>
      <c r="BG170" s="1493"/>
      <c r="BH170" s="1493"/>
    </row>
    <row r="171" spans="1:60" ht="15" customHeight="1">
      <c r="A171" s="1226"/>
      <c r="B171" s="1272"/>
      <c r="C171" s="1261"/>
      <c r="D171" s="1261"/>
      <c r="E171" s="1261"/>
      <c r="F171" s="1262"/>
      <c r="G171" s="1266"/>
      <c r="H171" s="1266"/>
      <c r="I171" s="1266"/>
      <c r="J171" s="1372"/>
      <c r="K171" s="1266"/>
      <c r="L171" s="1451"/>
      <c r="M171" s="1453"/>
      <c r="N171" s="1370" t="str">
        <f>IF('別紙様式2-2（４・５月分）'!Q132="","",'別紙様式2-2（４・５月分）'!Q132)</f>
        <v/>
      </c>
      <c r="O171" s="1367"/>
      <c r="P171" s="1383"/>
      <c r="Q171" s="1384"/>
      <c r="R171" s="1385"/>
      <c r="S171" s="1393"/>
      <c r="T171" s="1414"/>
      <c r="U171" s="1563"/>
      <c r="V171" s="1458"/>
      <c r="W171" s="1351"/>
      <c r="X171" s="1535"/>
      <c r="Y171" s="1355"/>
      <c r="Z171" s="1535"/>
      <c r="AA171" s="1355"/>
      <c r="AB171" s="1535"/>
      <c r="AC171" s="1355"/>
      <c r="AD171" s="1535"/>
      <c r="AE171" s="1355"/>
      <c r="AF171" s="1355"/>
      <c r="AG171" s="1355"/>
      <c r="AH171" s="1361"/>
      <c r="AI171" s="1482"/>
      <c r="AJ171" s="1543"/>
      <c r="AK171" s="1539"/>
      <c r="AL171" s="1541"/>
      <c r="AM171" s="1572"/>
      <c r="AN171" s="1574"/>
      <c r="AO171" s="1404"/>
      <c r="AP171" s="1533"/>
      <c r="AQ171" s="1404"/>
      <c r="AR171" s="1584"/>
      <c r="AS171" s="1537"/>
      <c r="AT171" s="1532" t="str">
        <f t="shared" ref="AT171" si="188">IF(AV172="","",IF(OR(AB172="",AB172&lt;&gt;7,AD172="",AD172&lt;&gt;3),"！算定期間の終わりが令和７年３月になっていません。年度内の廃止予定等がなければ、算定対象月を令和７年３月にしてください。",""))</f>
        <v/>
      </c>
      <c r="AU171" s="674"/>
      <c r="AV171" s="1493"/>
      <c r="AW171" s="1518" t="str">
        <f>IF('別紙様式2-2（４・５月分）'!O132="","",'別紙様式2-2（４・５月分）'!O132)</f>
        <v/>
      </c>
      <c r="AX171" s="1507"/>
      <c r="AY171" s="1589"/>
      <c r="AZ171" s="521"/>
      <c r="BE171" s="428"/>
      <c r="BF171" s="1493" t="str">
        <f>G170</f>
        <v/>
      </c>
      <c r="BG171" s="1493"/>
      <c r="BH171" s="1493"/>
    </row>
    <row r="172" spans="1:60" ht="15" customHeight="1">
      <c r="A172" s="1240"/>
      <c r="B172" s="1272"/>
      <c r="C172" s="1261"/>
      <c r="D172" s="1261"/>
      <c r="E172" s="1261"/>
      <c r="F172" s="1262"/>
      <c r="G172" s="1266"/>
      <c r="H172" s="1266"/>
      <c r="I172" s="1266"/>
      <c r="J172" s="1372"/>
      <c r="K172" s="1266"/>
      <c r="L172" s="1451"/>
      <c r="M172" s="1453"/>
      <c r="N172" s="1371"/>
      <c r="O172" s="1368"/>
      <c r="P172" s="1390" t="s">
        <v>2179</v>
      </c>
      <c r="Q172" s="1504" t="str">
        <f>IFERROR(VLOOKUP('別紙様式2-2（４・５月分）'!AR131,【参考】数式用!$AT$5:$AV$22,3,FALSE),"")</f>
        <v/>
      </c>
      <c r="R172" s="1388" t="s">
        <v>2190</v>
      </c>
      <c r="S172" s="1394" t="str">
        <f>IFERROR(VLOOKUP(K170,【参考】数式用!$A$5:$AB$27,MATCH(Q172,【参考】数式用!$B$4:$AB$4,0)+1,0),"")</f>
        <v/>
      </c>
      <c r="T172" s="1459" t="s">
        <v>2267</v>
      </c>
      <c r="U172" s="1569"/>
      <c r="V172" s="1463" t="str">
        <f>IFERROR(VLOOKUP(K170,【参考】数式用!$A$5:$AB$27,MATCH(U172,【参考】数式用!$B$4:$AB$4,0)+1,0),"")</f>
        <v/>
      </c>
      <c r="W172" s="1465" t="s">
        <v>19</v>
      </c>
      <c r="X172" s="1564"/>
      <c r="Y172" s="1407" t="s">
        <v>10</v>
      </c>
      <c r="Z172" s="1564"/>
      <c r="AA172" s="1407" t="s">
        <v>45</v>
      </c>
      <c r="AB172" s="1564"/>
      <c r="AC172" s="1407" t="s">
        <v>10</v>
      </c>
      <c r="AD172" s="1564"/>
      <c r="AE172" s="1407" t="s">
        <v>2172</v>
      </c>
      <c r="AF172" s="1407" t="s">
        <v>24</v>
      </c>
      <c r="AG172" s="1407" t="str">
        <f>IF(X172&gt;=1,(AB172*12+AD172)-(X172*12+Z172)+1,"")</f>
        <v/>
      </c>
      <c r="AH172" s="1409" t="s">
        <v>38</v>
      </c>
      <c r="AI172" s="1411" t="str">
        <f t="shared" ref="AI172" si="189">IFERROR(ROUNDDOWN(ROUND(L170*V172,0)*M170,0)*AG172,"")</f>
        <v/>
      </c>
      <c r="AJ172" s="1577" t="str">
        <f>IFERROR(ROUNDDOWN(ROUND((L170*(V172-AX170)),0)*M170,0)*AG172,"")</f>
        <v/>
      </c>
      <c r="AK172" s="1494" t="str">
        <f>IFERROR(ROUNDDOWN(ROUNDDOWN(ROUND(L170*VLOOKUP(K170,【参考】数式用!$A$5:$AB$27,MATCH("新加算Ⅳ",【参考】数式用!$B$4:$AB$4,0)+1,0),0)*M170,0)*AG172*0.5,0),"")</f>
        <v/>
      </c>
      <c r="AL172" s="1579"/>
      <c r="AM172" s="1585" t="str">
        <f>IFERROR(IF('別紙様式2-2（４・５月分）'!Q133="ベア加算","", IF(OR(U172="新加算Ⅰ",U172="新加算Ⅱ",U172="新加算Ⅲ",U172="新加算Ⅳ"),ROUNDDOWN(ROUND(L170*VLOOKUP(K170,【参考】数式用!$A$5:$I$27,MATCH("ベア加算",【参考】数式用!$B$4:$I$4,0)+1,0),0)*M170,0)*AG172,"")),"")</f>
        <v/>
      </c>
      <c r="AN172" s="1548"/>
      <c r="AO172" s="1554"/>
      <c r="AP172" s="1552"/>
      <c r="AQ172" s="1554"/>
      <c r="AR172" s="1556"/>
      <c r="AS172" s="1558"/>
      <c r="AT172" s="1532"/>
      <c r="AU172" s="542"/>
      <c r="AV172" s="1493" t="str">
        <f t="shared" ref="AV172" si="190">IF(OR(AB170&lt;&gt;7,AD170&lt;&gt;3),"V列に色付け","")</f>
        <v/>
      </c>
      <c r="AW172" s="1518"/>
      <c r="AX172" s="1507"/>
      <c r="AY172" s="671"/>
      <c r="AZ172" s="1321" t="str">
        <f>IF(AM172&lt;&gt;"",IF(AN172="○","入力済","未入力"),"")</f>
        <v/>
      </c>
      <c r="BA172" s="1321"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321" t="str">
        <f>IF(OR(U172="新加算Ⅴ（７）",U172="新加算Ⅴ（９）",U172="新加算Ⅴ（10）",U172="新加算Ⅴ（12）",U172="新加算Ⅴ（13）",U172="新加算Ⅴ（14）"),IF(OR(AP172="○",AP172="令和６年度中に満たす"),"入力済","未入力"),"")</f>
        <v/>
      </c>
      <c r="BC172" s="1321" t="str">
        <f>IF(OR(U172="新加算Ⅰ",U172="新加算Ⅱ",U172="新加算Ⅲ",U172="新加算Ⅴ（１）",U172="新加算Ⅴ（３）",U172="新加算Ⅴ（８）"),IF(OR(AQ172="○",AQ172="令和６年度中に満たす"),"入力済","未入力"),"")</f>
        <v/>
      </c>
      <c r="BD172" s="1588"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493" t="str">
        <f>IF(OR(U172="新加算Ⅰ",U172="新加算Ⅴ（１）",U172="新加算Ⅴ（２）",U172="新加算Ⅴ（５）",U172="新加算Ⅴ（７）",U172="新加算Ⅴ（10）"),IF(AS172="","未入力","入力済"),"")</f>
        <v/>
      </c>
      <c r="BF172" s="1493" t="str">
        <f>G170</f>
        <v/>
      </c>
      <c r="BG172" s="1493"/>
      <c r="BH172" s="1493"/>
    </row>
    <row r="173" spans="1:60" ht="30" customHeight="1" thickBot="1">
      <c r="A173" s="1227"/>
      <c r="B173" s="1376"/>
      <c r="C173" s="1377"/>
      <c r="D173" s="1377"/>
      <c r="E173" s="1377"/>
      <c r="F173" s="1378"/>
      <c r="G173" s="1267"/>
      <c r="H173" s="1267"/>
      <c r="I173" s="1267"/>
      <c r="J173" s="1373"/>
      <c r="K173" s="1267"/>
      <c r="L173" s="1452"/>
      <c r="M173" s="1454"/>
      <c r="N173" s="650" t="str">
        <f>IF('別紙様式2-2（４・５月分）'!Q133="","",'別紙様式2-2（４・５月分）'!Q133)</f>
        <v/>
      </c>
      <c r="O173" s="1369"/>
      <c r="P173" s="1391"/>
      <c r="Q173" s="1505"/>
      <c r="R173" s="1389"/>
      <c r="S173" s="1395"/>
      <c r="T173" s="1460"/>
      <c r="U173" s="1570"/>
      <c r="V173" s="1464"/>
      <c r="W173" s="1466"/>
      <c r="X173" s="1565"/>
      <c r="Y173" s="1408"/>
      <c r="Z173" s="1565"/>
      <c r="AA173" s="1408"/>
      <c r="AB173" s="1565"/>
      <c r="AC173" s="1408"/>
      <c r="AD173" s="1565"/>
      <c r="AE173" s="1408"/>
      <c r="AF173" s="1408"/>
      <c r="AG173" s="1408"/>
      <c r="AH173" s="1410"/>
      <c r="AI173" s="1412"/>
      <c r="AJ173" s="1578"/>
      <c r="AK173" s="1495"/>
      <c r="AL173" s="1580"/>
      <c r="AM173" s="1586"/>
      <c r="AN173" s="1549"/>
      <c r="AO173" s="1555"/>
      <c r="AP173" s="1553"/>
      <c r="AQ173" s="1555"/>
      <c r="AR173" s="1557"/>
      <c r="AS173" s="1559"/>
      <c r="AT173" s="672" t="str">
        <f t="shared" ref="AT173" si="191">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42"/>
      <c r="AV173" s="1493"/>
      <c r="AW173" s="652" t="str">
        <f>IF('別紙様式2-2（４・５月分）'!O133="","",'別紙様式2-2（４・５月分）'!O133)</f>
        <v/>
      </c>
      <c r="AX173" s="1507"/>
      <c r="AY173" s="673"/>
      <c r="AZ173" s="1321" t="str">
        <f>IF(OR(U173="新加算Ⅰ",U173="新加算Ⅱ",U173="新加算Ⅲ",U173="新加算Ⅳ",U173="新加算Ⅴ（１）",U173="新加算Ⅴ（２）",U173="新加算Ⅴ（３）",U173="新加算ⅠⅤ（４）",U173="新加算Ⅴ（５）",U173="新加算Ⅴ（６）",U173="新加算Ⅴ（８）",U173="新加算Ⅴ（11）"),IF(AJ173="○","","未入力"),"")</f>
        <v/>
      </c>
      <c r="BA173" s="1321" t="str">
        <f>IF(OR(V173="新加算Ⅰ",V173="新加算Ⅱ",V173="新加算Ⅲ",V173="新加算Ⅳ",V173="新加算Ⅴ（１）",V173="新加算Ⅴ（２）",V173="新加算Ⅴ（３）",V173="新加算ⅠⅤ（４）",V173="新加算Ⅴ（５）",V173="新加算Ⅴ（６）",V173="新加算Ⅴ（８）",V173="新加算Ⅴ（11）"),IF(AK173="○","","未入力"),"")</f>
        <v/>
      </c>
      <c r="BB173" s="1321" t="str">
        <f>IF(OR(V173="新加算Ⅴ（７）",V173="新加算Ⅴ（９）",V173="新加算Ⅴ（10）",V173="新加算Ⅴ（12）",V173="新加算Ⅴ（13）",V173="新加算Ⅴ（14）"),IF(AL173="○","","未入力"),"")</f>
        <v/>
      </c>
      <c r="BC173" s="1321" t="str">
        <f>IF(OR(V173="新加算Ⅰ",V173="新加算Ⅱ",V173="新加算Ⅲ",V173="新加算Ⅴ（１）",V173="新加算Ⅴ（３）",V173="新加算Ⅴ（８）"),IF(AM173="○","","未入力"),"")</f>
        <v/>
      </c>
      <c r="BD173" s="1588"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493" t="str">
        <f>IF(AND(U173&lt;&gt;"（参考）令和７年度の移行予定",OR(V173="新加算Ⅰ",V173="新加算Ⅴ（１）",V173="新加算Ⅴ（２）",V173="新加算Ⅴ（５）",V173="新加算Ⅴ（７）",V173="新加算Ⅴ（10）")),IF(AO173="","未入力",IF(AO173="いずれも取得していない","要件を満たさない","")),"")</f>
        <v/>
      </c>
      <c r="BF173" s="1493" t="str">
        <f>G170</f>
        <v/>
      </c>
      <c r="BG173" s="1493"/>
      <c r="BH173" s="1493"/>
    </row>
    <row r="174" spans="1:60" ht="30" customHeight="1">
      <c r="A174" s="1225">
        <v>41</v>
      </c>
      <c r="B174" s="1271" t="str">
        <f>IF(基本情報入力シート!C94="","",基本情報入力シート!C94)</f>
        <v/>
      </c>
      <c r="C174" s="1259"/>
      <c r="D174" s="1259"/>
      <c r="E174" s="1259"/>
      <c r="F174" s="1260"/>
      <c r="G174" s="1265" t="str">
        <f>IF(基本情報入力シート!M94="","",基本情報入力シート!M94)</f>
        <v/>
      </c>
      <c r="H174" s="1265" t="str">
        <f>IF(基本情報入力シート!R94="","",基本情報入力シート!R94)</f>
        <v/>
      </c>
      <c r="I174" s="1265" t="str">
        <f>IF(基本情報入力シート!W94="","",基本情報入力シート!W94)</f>
        <v/>
      </c>
      <c r="J174" s="1379" t="str">
        <f>IF(基本情報入力シート!X94="","",基本情報入力シート!X94)</f>
        <v/>
      </c>
      <c r="K174" s="1265" t="str">
        <f>IF(基本情報入力シート!Y94="","",基本情報入力シート!Y94)</f>
        <v/>
      </c>
      <c r="L174" s="1450" t="str">
        <f>IF(基本情報入力シート!AB94="","",基本情報入力シート!AB94)</f>
        <v/>
      </c>
      <c r="M174" s="1447" t="str">
        <f>IF(基本情報入力シート!AC94="","",基本情報入力シート!AC94)</f>
        <v/>
      </c>
      <c r="N174" s="647" t="str">
        <f>IF('別紙様式2-2（４・５月分）'!Q134="","",'別紙様式2-2（４・５月分）'!Q134)</f>
        <v/>
      </c>
      <c r="O174" s="1366" t="str">
        <f>IF(SUM('別紙様式2-2（４・５月分）'!R134:R136)=0,"",SUM('別紙様式2-2（４・５月分）'!R134:R136))</f>
        <v/>
      </c>
      <c r="P174" s="1380" t="str">
        <f>IFERROR(VLOOKUP('別紙様式2-2（４・５月分）'!AR134,【参考】数式用!$AT$5:$AU$22,2,FALSE),"")</f>
        <v/>
      </c>
      <c r="Q174" s="1381"/>
      <c r="R174" s="1382"/>
      <c r="S174" s="1392" t="str">
        <f>IFERROR(VLOOKUP(K174,【参考】数式用!$A$5:$AB$27,MATCH(P174,【参考】数式用!$B$4:$AB$4,0)+1,0),"")</f>
        <v/>
      </c>
      <c r="T174" s="1413" t="s">
        <v>2258</v>
      </c>
      <c r="U174" s="1562" t="str">
        <f>IF('別紙様式2-3（６月以降分）'!U174="","",'別紙様式2-3（６月以降分）'!U174)</f>
        <v/>
      </c>
      <c r="V174" s="1457" t="str">
        <f>IFERROR(VLOOKUP(K174,【参考】数式用!$A$5:$AB$27,MATCH(U174,【参考】数式用!$B$4:$AB$4,0)+1,0),"")</f>
        <v/>
      </c>
      <c r="W174" s="1350" t="s">
        <v>19</v>
      </c>
      <c r="X174" s="1534">
        <f>'別紙様式2-3（６月以降分）'!X174</f>
        <v>6</v>
      </c>
      <c r="Y174" s="1354" t="s">
        <v>10</v>
      </c>
      <c r="Z174" s="1534">
        <f>'別紙様式2-3（６月以降分）'!Z174</f>
        <v>6</v>
      </c>
      <c r="AA174" s="1354" t="s">
        <v>45</v>
      </c>
      <c r="AB174" s="1534">
        <f>'別紙様式2-3（６月以降分）'!AB174</f>
        <v>7</v>
      </c>
      <c r="AC174" s="1354" t="s">
        <v>10</v>
      </c>
      <c r="AD174" s="1534">
        <f>'別紙様式2-3（６月以降分）'!AD174</f>
        <v>3</v>
      </c>
      <c r="AE174" s="1354" t="s">
        <v>2172</v>
      </c>
      <c r="AF174" s="1354" t="s">
        <v>24</v>
      </c>
      <c r="AG174" s="1354">
        <f>IF(X174&gt;=1,(AB174*12+AD174)-(X174*12+Z174)+1,"")</f>
        <v>10</v>
      </c>
      <c r="AH174" s="1360" t="s">
        <v>38</v>
      </c>
      <c r="AI174" s="1481" t="str">
        <f>'別紙様式2-3（６月以降分）'!AI174</f>
        <v/>
      </c>
      <c r="AJ174" s="1542" t="str">
        <f>'別紙様式2-3（６月以降分）'!AJ174</f>
        <v/>
      </c>
      <c r="AK174" s="1538">
        <f>'別紙様式2-3（６月以降分）'!AK174</f>
        <v>0</v>
      </c>
      <c r="AL174" s="1540" t="str">
        <f>IF('別紙様式2-3（６月以降分）'!AL174="","",'別紙様式2-3（６月以降分）'!AL174)</f>
        <v/>
      </c>
      <c r="AM174" s="1571">
        <f>'別紙様式2-3（６月以降分）'!AM174</f>
        <v>0</v>
      </c>
      <c r="AN174" s="1573" t="str">
        <f>IF('別紙様式2-3（６月以降分）'!AN174="","",'別紙様式2-3（６月以降分）'!AN174)</f>
        <v/>
      </c>
      <c r="AO174" s="1403" t="str">
        <f>IF('別紙様式2-3（６月以降分）'!AO174="","",'別紙様式2-3（６月以降分）'!AO174)</f>
        <v/>
      </c>
      <c r="AP174" s="1502" t="str">
        <f>IF('別紙様式2-3（６月以降分）'!AP174="","",'別紙様式2-3（６月以降分）'!AP174)</f>
        <v/>
      </c>
      <c r="AQ174" s="1403" t="str">
        <f>IF('別紙様式2-3（６月以降分）'!AQ174="","",'別紙様式2-3（６月以降分）'!AQ174)</f>
        <v/>
      </c>
      <c r="AR174" s="1583" t="str">
        <f>IF('別紙様式2-3（６月以降分）'!AR174="","",'別紙様式2-3（６月以降分）'!AR174)</f>
        <v/>
      </c>
      <c r="AS174" s="1536" t="str">
        <f>IF('別紙様式2-3（６月以降分）'!AS174="","",'別紙様式2-3（６月以降分）'!AS174)</f>
        <v/>
      </c>
      <c r="AT174" s="667" t="str">
        <f t="shared" ref="AT174" si="192">IF(AV176="","",IF(V176&lt;V174,"！加算の要件上は問題ありませんが、令和６年度当初の新加算の加算率と比較して、移行後の加算率が下がる計画になっています。",""))</f>
        <v/>
      </c>
      <c r="AU174" s="674"/>
      <c r="AV174" s="1233"/>
      <c r="AW174" s="652" t="str">
        <f>IF('別紙様式2-2（４・５月分）'!O134="","",'別紙様式2-2（４・５月分）'!O134)</f>
        <v/>
      </c>
      <c r="AX174" s="1507" t="str">
        <f>IF(SUM('別紙様式2-2（４・５月分）'!P134:P136)=0,"",SUM('別紙様式2-2（４・５月分）'!P134:P136))</f>
        <v/>
      </c>
      <c r="AY174" s="1590" t="str">
        <f>IFERROR(VLOOKUP(K174,【参考】数式用!$AJ$2:$AK$24,2,FALSE),"")</f>
        <v/>
      </c>
      <c r="AZ174" s="584"/>
      <c r="BE174" s="428"/>
      <c r="BF174" s="1493" t="str">
        <f>G174</f>
        <v/>
      </c>
      <c r="BG174" s="1493"/>
      <c r="BH174" s="1493"/>
    </row>
    <row r="175" spans="1:60" ht="15" customHeight="1">
      <c r="A175" s="1226"/>
      <c r="B175" s="1272"/>
      <c r="C175" s="1261"/>
      <c r="D175" s="1261"/>
      <c r="E175" s="1261"/>
      <c r="F175" s="1262"/>
      <c r="G175" s="1266"/>
      <c r="H175" s="1266"/>
      <c r="I175" s="1266"/>
      <c r="J175" s="1372"/>
      <c r="K175" s="1266"/>
      <c r="L175" s="1451"/>
      <c r="M175" s="1448"/>
      <c r="N175" s="1370" t="str">
        <f>IF('別紙様式2-2（４・５月分）'!Q135="","",'別紙様式2-2（４・５月分）'!Q135)</f>
        <v/>
      </c>
      <c r="O175" s="1367"/>
      <c r="P175" s="1383"/>
      <c r="Q175" s="1384"/>
      <c r="R175" s="1385"/>
      <c r="S175" s="1393"/>
      <c r="T175" s="1414"/>
      <c r="U175" s="1563"/>
      <c r="V175" s="1458"/>
      <c r="W175" s="1351"/>
      <c r="X175" s="1535"/>
      <c r="Y175" s="1355"/>
      <c r="Z175" s="1535"/>
      <c r="AA175" s="1355"/>
      <c r="AB175" s="1535"/>
      <c r="AC175" s="1355"/>
      <c r="AD175" s="1535"/>
      <c r="AE175" s="1355"/>
      <c r="AF175" s="1355"/>
      <c r="AG175" s="1355"/>
      <c r="AH175" s="1361"/>
      <c r="AI175" s="1482"/>
      <c r="AJ175" s="1543"/>
      <c r="AK175" s="1539"/>
      <c r="AL175" s="1541"/>
      <c r="AM175" s="1572"/>
      <c r="AN175" s="1574"/>
      <c r="AO175" s="1404"/>
      <c r="AP175" s="1533"/>
      <c r="AQ175" s="1404"/>
      <c r="AR175" s="1584"/>
      <c r="AS175" s="1537"/>
      <c r="AT175" s="1532" t="str">
        <f t="shared" ref="AT175" si="193">IF(AV176="","",IF(OR(AB176="",AB176&lt;&gt;7,AD176="",AD176&lt;&gt;3),"！算定期間の終わりが令和７年３月になっていません。年度内の廃止予定等がなければ、算定対象月を令和７年３月にしてください。",""))</f>
        <v/>
      </c>
      <c r="AU175" s="674"/>
      <c r="AV175" s="1493"/>
      <c r="AW175" s="1518" t="str">
        <f>IF('別紙様式2-2（４・５月分）'!O135="","",'別紙様式2-2（４・５月分）'!O135)</f>
        <v/>
      </c>
      <c r="AX175" s="1507"/>
      <c r="AY175" s="1589"/>
      <c r="AZ175" s="521"/>
      <c r="BE175" s="428"/>
      <c r="BF175" s="1493" t="str">
        <f>G174</f>
        <v/>
      </c>
      <c r="BG175" s="1493"/>
      <c r="BH175" s="1493"/>
    </row>
    <row r="176" spans="1:60" ht="15" customHeight="1">
      <c r="A176" s="1240"/>
      <c r="B176" s="1272"/>
      <c r="C176" s="1261"/>
      <c r="D176" s="1261"/>
      <c r="E176" s="1261"/>
      <c r="F176" s="1262"/>
      <c r="G176" s="1266"/>
      <c r="H176" s="1266"/>
      <c r="I176" s="1266"/>
      <c r="J176" s="1372"/>
      <c r="K176" s="1266"/>
      <c r="L176" s="1451"/>
      <c r="M176" s="1448"/>
      <c r="N176" s="1371"/>
      <c r="O176" s="1368"/>
      <c r="P176" s="1390" t="s">
        <v>2179</v>
      </c>
      <c r="Q176" s="1504" t="str">
        <f>IFERROR(VLOOKUP('別紙様式2-2（４・５月分）'!AR134,【参考】数式用!$AT$5:$AV$22,3,FALSE),"")</f>
        <v/>
      </c>
      <c r="R176" s="1388" t="s">
        <v>2190</v>
      </c>
      <c r="S176" s="1396" t="str">
        <f>IFERROR(VLOOKUP(K174,【参考】数式用!$A$5:$AB$27,MATCH(Q176,【参考】数式用!$B$4:$AB$4,0)+1,0),"")</f>
        <v/>
      </c>
      <c r="T176" s="1459" t="s">
        <v>2267</v>
      </c>
      <c r="U176" s="1569"/>
      <c r="V176" s="1463" t="str">
        <f>IFERROR(VLOOKUP(K174,【参考】数式用!$A$5:$AB$27,MATCH(U176,【参考】数式用!$B$4:$AB$4,0)+1,0),"")</f>
        <v/>
      </c>
      <c r="W176" s="1465" t="s">
        <v>19</v>
      </c>
      <c r="X176" s="1564"/>
      <c r="Y176" s="1407" t="s">
        <v>10</v>
      </c>
      <c r="Z176" s="1564"/>
      <c r="AA176" s="1407" t="s">
        <v>45</v>
      </c>
      <c r="AB176" s="1564"/>
      <c r="AC176" s="1407" t="s">
        <v>10</v>
      </c>
      <c r="AD176" s="1564"/>
      <c r="AE176" s="1407" t="s">
        <v>2172</v>
      </c>
      <c r="AF176" s="1407" t="s">
        <v>24</v>
      </c>
      <c r="AG176" s="1407" t="str">
        <f>IF(X176&gt;=1,(AB176*12+AD176)-(X176*12+Z176)+1,"")</f>
        <v/>
      </c>
      <c r="AH176" s="1409" t="s">
        <v>38</v>
      </c>
      <c r="AI176" s="1411" t="str">
        <f t="shared" ref="AI176" si="194">IFERROR(ROUNDDOWN(ROUND(L174*V176,0)*M174,0)*AG176,"")</f>
        <v/>
      </c>
      <c r="AJ176" s="1577" t="str">
        <f>IFERROR(ROUNDDOWN(ROUND((L174*(V176-AX174)),0)*M174,0)*AG176,"")</f>
        <v/>
      </c>
      <c r="AK176" s="1494" t="str">
        <f>IFERROR(ROUNDDOWN(ROUNDDOWN(ROUND(L174*VLOOKUP(K174,【参考】数式用!$A$5:$AB$27,MATCH("新加算Ⅳ",【参考】数式用!$B$4:$AB$4,0)+1,0),0)*M174,0)*AG176*0.5,0),"")</f>
        <v/>
      </c>
      <c r="AL176" s="1579"/>
      <c r="AM176" s="1585" t="str">
        <f>IFERROR(IF('別紙様式2-2（４・５月分）'!Q136="ベア加算","", IF(OR(U176="新加算Ⅰ",U176="新加算Ⅱ",U176="新加算Ⅲ",U176="新加算Ⅳ"),ROUNDDOWN(ROUND(L174*VLOOKUP(K174,【参考】数式用!$A$5:$I$27,MATCH("ベア加算",【参考】数式用!$B$4:$I$4,0)+1,0),0)*M174,0)*AG176,"")),"")</f>
        <v/>
      </c>
      <c r="AN176" s="1548"/>
      <c r="AO176" s="1554"/>
      <c r="AP176" s="1552"/>
      <c r="AQ176" s="1554"/>
      <c r="AR176" s="1556"/>
      <c r="AS176" s="1558"/>
      <c r="AT176" s="1532"/>
      <c r="AU176" s="542"/>
      <c r="AV176" s="1493" t="str">
        <f t="shared" ref="AV176" si="195">IF(OR(AB174&lt;&gt;7,AD174&lt;&gt;3),"V列に色付け","")</f>
        <v/>
      </c>
      <c r="AW176" s="1518"/>
      <c r="AX176" s="1507"/>
      <c r="AY176" s="671"/>
      <c r="AZ176" s="1321" t="str">
        <f>IF(AM176&lt;&gt;"",IF(AN176="○","入力済","未入力"),"")</f>
        <v/>
      </c>
      <c r="BA176" s="1321"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321" t="str">
        <f>IF(OR(U176="新加算Ⅴ（７）",U176="新加算Ⅴ（９）",U176="新加算Ⅴ（10）",U176="新加算Ⅴ（12）",U176="新加算Ⅴ（13）",U176="新加算Ⅴ（14）"),IF(OR(AP176="○",AP176="令和６年度中に満たす"),"入力済","未入力"),"")</f>
        <v/>
      </c>
      <c r="BC176" s="1321" t="str">
        <f>IF(OR(U176="新加算Ⅰ",U176="新加算Ⅱ",U176="新加算Ⅲ",U176="新加算Ⅴ（１）",U176="新加算Ⅴ（３）",U176="新加算Ⅴ（８）"),IF(OR(AQ176="○",AQ176="令和６年度中に満たす"),"入力済","未入力"),"")</f>
        <v/>
      </c>
      <c r="BD176" s="1588"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493" t="str">
        <f>IF(OR(U176="新加算Ⅰ",U176="新加算Ⅴ（１）",U176="新加算Ⅴ（２）",U176="新加算Ⅴ（５）",U176="新加算Ⅴ（７）",U176="新加算Ⅴ（10）"),IF(AS176="","未入力","入力済"),"")</f>
        <v/>
      </c>
      <c r="BF176" s="1493" t="str">
        <f>G174</f>
        <v/>
      </c>
      <c r="BG176" s="1493"/>
      <c r="BH176" s="1493"/>
    </row>
    <row r="177" spans="1:60" ht="30" customHeight="1" thickBot="1">
      <c r="A177" s="1227"/>
      <c r="B177" s="1376"/>
      <c r="C177" s="1377"/>
      <c r="D177" s="1377"/>
      <c r="E177" s="1377"/>
      <c r="F177" s="1378"/>
      <c r="G177" s="1267"/>
      <c r="H177" s="1267"/>
      <c r="I177" s="1267"/>
      <c r="J177" s="1373"/>
      <c r="K177" s="1267"/>
      <c r="L177" s="1452"/>
      <c r="M177" s="1449"/>
      <c r="N177" s="650" t="str">
        <f>IF('別紙様式2-2（４・５月分）'!Q136="","",'別紙様式2-2（４・５月分）'!Q136)</f>
        <v/>
      </c>
      <c r="O177" s="1369"/>
      <c r="P177" s="1391"/>
      <c r="Q177" s="1505"/>
      <c r="R177" s="1389"/>
      <c r="S177" s="1395"/>
      <c r="T177" s="1460"/>
      <c r="U177" s="1570"/>
      <c r="V177" s="1464"/>
      <c r="W177" s="1466"/>
      <c r="X177" s="1565"/>
      <c r="Y177" s="1408"/>
      <c r="Z177" s="1565"/>
      <c r="AA177" s="1408"/>
      <c r="AB177" s="1565"/>
      <c r="AC177" s="1408"/>
      <c r="AD177" s="1565"/>
      <c r="AE177" s="1408"/>
      <c r="AF177" s="1408"/>
      <c r="AG177" s="1408"/>
      <c r="AH177" s="1410"/>
      <c r="AI177" s="1412"/>
      <c r="AJ177" s="1578"/>
      <c r="AK177" s="1495"/>
      <c r="AL177" s="1580"/>
      <c r="AM177" s="1586"/>
      <c r="AN177" s="1549"/>
      <c r="AO177" s="1555"/>
      <c r="AP177" s="1553"/>
      <c r="AQ177" s="1555"/>
      <c r="AR177" s="1557"/>
      <c r="AS177" s="1559"/>
      <c r="AT177" s="672" t="str">
        <f t="shared" ref="AT177" si="19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42"/>
      <c r="AV177" s="1493"/>
      <c r="AW177" s="652" t="str">
        <f>IF('別紙様式2-2（４・５月分）'!O136="","",'別紙様式2-2（４・５月分）'!O136)</f>
        <v/>
      </c>
      <c r="AX177" s="1507"/>
      <c r="AY177" s="673"/>
      <c r="AZ177" s="1321" t="str">
        <f>IF(OR(U177="新加算Ⅰ",U177="新加算Ⅱ",U177="新加算Ⅲ",U177="新加算Ⅳ",U177="新加算Ⅴ（１）",U177="新加算Ⅴ（２）",U177="新加算Ⅴ（３）",U177="新加算ⅠⅤ（４）",U177="新加算Ⅴ（５）",U177="新加算Ⅴ（６）",U177="新加算Ⅴ（８）",U177="新加算Ⅴ（11）"),IF(AJ177="○","","未入力"),"")</f>
        <v/>
      </c>
      <c r="BA177" s="1321" t="str">
        <f>IF(OR(V177="新加算Ⅰ",V177="新加算Ⅱ",V177="新加算Ⅲ",V177="新加算Ⅳ",V177="新加算Ⅴ（１）",V177="新加算Ⅴ（２）",V177="新加算Ⅴ（３）",V177="新加算ⅠⅤ（４）",V177="新加算Ⅴ（５）",V177="新加算Ⅴ（６）",V177="新加算Ⅴ（８）",V177="新加算Ⅴ（11）"),IF(AK177="○","","未入力"),"")</f>
        <v/>
      </c>
      <c r="BB177" s="1321" t="str">
        <f>IF(OR(V177="新加算Ⅴ（７）",V177="新加算Ⅴ（９）",V177="新加算Ⅴ（10）",V177="新加算Ⅴ（12）",V177="新加算Ⅴ（13）",V177="新加算Ⅴ（14）"),IF(AL177="○","","未入力"),"")</f>
        <v/>
      </c>
      <c r="BC177" s="1321" t="str">
        <f>IF(OR(V177="新加算Ⅰ",V177="新加算Ⅱ",V177="新加算Ⅲ",V177="新加算Ⅴ（１）",V177="新加算Ⅴ（３）",V177="新加算Ⅴ（８）"),IF(AM177="○","","未入力"),"")</f>
        <v/>
      </c>
      <c r="BD177" s="1588"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493" t="str">
        <f>IF(AND(U177&lt;&gt;"（参考）令和７年度の移行予定",OR(V177="新加算Ⅰ",V177="新加算Ⅴ（１）",V177="新加算Ⅴ（２）",V177="新加算Ⅴ（５）",V177="新加算Ⅴ（７）",V177="新加算Ⅴ（10）")),IF(AO177="","未入力",IF(AO177="いずれも取得していない","要件を満たさない","")),"")</f>
        <v/>
      </c>
      <c r="BF177" s="1493" t="str">
        <f>G174</f>
        <v/>
      </c>
      <c r="BG177" s="1493"/>
      <c r="BH177" s="1493"/>
    </row>
    <row r="178" spans="1:60" ht="30" customHeight="1">
      <c r="A178" s="1241">
        <v>42</v>
      </c>
      <c r="B178" s="1272" t="str">
        <f>IF(基本情報入力シート!C95="","",基本情報入力シート!C95)</f>
        <v/>
      </c>
      <c r="C178" s="1261"/>
      <c r="D178" s="1261"/>
      <c r="E178" s="1261"/>
      <c r="F178" s="1262"/>
      <c r="G178" s="1266" t="str">
        <f>IF(基本情報入力シート!M95="","",基本情報入力シート!M95)</f>
        <v/>
      </c>
      <c r="H178" s="1266" t="str">
        <f>IF(基本情報入力シート!R95="","",基本情報入力シート!R95)</f>
        <v/>
      </c>
      <c r="I178" s="1266" t="str">
        <f>IF(基本情報入力シート!W95="","",基本情報入力シート!W95)</f>
        <v/>
      </c>
      <c r="J178" s="1372" t="str">
        <f>IF(基本情報入力シート!X95="","",基本情報入力シート!X95)</f>
        <v/>
      </c>
      <c r="K178" s="1266" t="str">
        <f>IF(基本情報入力シート!Y95="","",基本情報入力シート!Y95)</f>
        <v/>
      </c>
      <c r="L178" s="1451" t="str">
        <f>IF(基本情報入力シート!AB95="","",基本情報入力シート!AB95)</f>
        <v/>
      </c>
      <c r="M178" s="1453" t="str">
        <f>IF(基本情報入力シート!AC95="","",基本情報入力シート!AC95)</f>
        <v/>
      </c>
      <c r="N178" s="647" t="str">
        <f>IF('別紙様式2-2（４・５月分）'!Q137="","",'別紙様式2-2（４・５月分）'!Q137)</f>
        <v/>
      </c>
      <c r="O178" s="1366" t="str">
        <f>IF(SUM('別紙様式2-2（４・５月分）'!R137:R139)=0,"",SUM('別紙様式2-2（４・５月分）'!R137:R139))</f>
        <v/>
      </c>
      <c r="P178" s="1380" t="str">
        <f>IFERROR(VLOOKUP('別紙様式2-2（４・５月分）'!AR137,【参考】数式用!$AT$5:$AU$22,2,FALSE),"")</f>
        <v/>
      </c>
      <c r="Q178" s="1381"/>
      <c r="R178" s="1382"/>
      <c r="S178" s="1392" t="str">
        <f>IFERROR(VLOOKUP(K178,【参考】数式用!$A$5:$AB$27,MATCH(P178,【参考】数式用!$B$4:$AB$4,0)+1,0),"")</f>
        <v/>
      </c>
      <c r="T178" s="1413" t="s">
        <v>2258</v>
      </c>
      <c r="U178" s="1562" t="str">
        <f>IF('別紙様式2-3（６月以降分）'!U178="","",'別紙様式2-3（６月以降分）'!U178)</f>
        <v/>
      </c>
      <c r="V178" s="1457" t="str">
        <f>IFERROR(VLOOKUP(K178,【参考】数式用!$A$5:$AB$27,MATCH(U178,【参考】数式用!$B$4:$AB$4,0)+1,0),"")</f>
        <v/>
      </c>
      <c r="W178" s="1350" t="s">
        <v>19</v>
      </c>
      <c r="X178" s="1534">
        <f>'別紙様式2-3（６月以降分）'!X178</f>
        <v>6</v>
      </c>
      <c r="Y178" s="1354" t="s">
        <v>10</v>
      </c>
      <c r="Z178" s="1534">
        <f>'別紙様式2-3（６月以降分）'!Z178</f>
        <v>6</v>
      </c>
      <c r="AA178" s="1354" t="s">
        <v>45</v>
      </c>
      <c r="AB178" s="1534">
        <f>'別紙様式2-3（６月以降分）'!AB178</f>
        <v>7</v>
      </c>
      <c r="AC178" s="1354" t="s">
        <v>10</v>
      </c>
      <c r="AD178" s="1534">
        <f>'別紙様式2-3（６月以降分）'!AD178</f>
        <v>3</v>
      </c>
      <c r="AE178" s="1354" t="s">
        <v>2172</v>
      </c>
      <c r="AF178" s="1354" t="s">
        <v>24</v>
      </c>
      <c r="AG178" s="1354">
        <f>IF(X178&gt;=1,(AB178*12+AD178)-(X178*12+Z178)+1,"")</f>
        <v>10</v>
      </c>
      <c r="AH178" s="1360" t="s">
        <v>38</v>
      </c>
      <c r="AI178" s="1481" t="str">
        <f>'別紙様式2-3（６月以降分）'!AI178</f>
        <v/>
      </c>
      <c r="AJ178" s="1542" t="str">
        <f>'別紙様式2-3（６月以降分）'!AJ178</f>
        <v/>
      </c>
      <c r="AK178" s="1538">
        <f>'別紙様式2-3（６月以降分）'!AK178</f>
        <v>0</v>
      </c>
      <c r="AL178" s="1540" t="str">
        <f>IF('別紙様式2-3（６月以降分）'!AL178="","",'別紙様式2-3（６月以降分）'!AL178)</f>
        <v/>
      </c>
      <c r="AM178" s="1571">
        <f>'別紙様式2-3（６月以降分）'!AM178</f>
        <v>0</v>
      </c>
      <c r="AN178" s="1573" t="str">
        <f>IF('別紙様式2-3（６月以降分）'!AN178="","",'別紙様式2-3（６月以降分）'!AN178)</f>
        <v/>
      </c>
      <c r="AO178" s="1403" t="str">
        <f>IF('別紙様式2-3（６月以降分）'!AO178="","",'別紙様式2-3（６月以降分）'!AO178)</f>
        <v/>
      </c>
      <c r="AP178" s="1502" t="str">
        <f>IF('別紙様式2-3（６月以降分）'!AP178="","",'別紙様式2-3（６月以降分）'!AP178)</f>
        <v/>
      </c>
      <c r="AQ178" s="1403" t="str">
        <f>IF('別紙様式2-3（６月以降分）'!AQ178="","",'別紙様式2-3（６月以降分）'!AQ178)</f>
        <v/>
      </c>
      <c r="AR178" s="1583" t="str">
        <f>IF('別紙様式2-3（６月以降分）'!AR178="","",'別紙様式2-3（６月以降分）'!AR178)</f>
        <v/>
      </c>
      <c r="AS178" s="1536" t="str">
        <f>IF('別紙様式2-3（６月以降分）'!AS178="","",'別紙様式2-3（６月以降分）'!AS178)</f>
        <v/>
      </c>
      <c r="AT178" s="667" t="str">
        <f t="shared" ref="AT178" si="197">IF(AV180="","",IF(V180&lt;V178,"！加算の要件上は問題ありませんが、令和６年度当初の新加算の加算率と比較して、移行後の加算率が下がる計画になっています。",""))</f>
        <v/>
      </c>
      <c r="AU178" s="674"/>
      <c r="AV178" s="1233"/>
      <c r="AW178" s="652" t="str">
        <f>IF('別紙様式2-2（４・５月分）'!O137="","",'別紙様式2-2（４・５月分）'!O137)</f>
        <v/>
      </c>
      <c r="AX178" s="1507" t="str">
        <f>IF(SUM('別紙様式2-2（４・５月分）'!P137:P139)=0,"",SUM('別紙様式2-2（４・５月分）'!P137:P139))</f>
        <v/>
      </c>
      <c r="AY178" s="1589" t="str">
        <f>IFERROR(VLOOKUP(K178,【参考】数式用!$AJ$2:$AK$24,2,FALSE),"")</f>
        <v/>
      </c>
      <c r="AZ178" s="584"/>
      <c r="BE178" s="428"/>
      <c r="BF178" s="1493" t="str">
        <f>G178</f>
        <v/>
      </c>
      <c r="BG178" s="1493"/>
      <c r="BH178" s="1493"/>
    </row>
    <row r="179" spans="1:60" ht="15" customHeight="1">
      <c r="A179" s="1226"/>
      <c r="B179" s="1272"/>
      <c r="C179" s="1261"/>
      <c r="D179" s="1261"/>
      <c r="E179" s="1261"/>
      <c r="F179" s="1262"/>
      <c r="G179" s="1266"/>
      <c r="H179" s="1266"/>
      <c r="I179" s="1266"/>
      <c r="J179" s="1372"/>
      <c r="K179" s="1266"/>
      <c r="L179" s="1451"/>
      <c r="M179" s="1453"/>
      <c r="N179" s="1370" t="str">
        <f>IF('別紙様式2-2（４・５月分）'!Q138="","",'別紙様式2-2（４・５月分）'!Q138)</f>
        <v/>
      </c>
      <c r="O179" s="1367"/>
      <c r="P179" s="1383"/>
      <c r="Q179" s="1384"/>
      <c r="R179" s="1385"/>
      <c r="S179" s="1393"/>
      <c r="T179" s="1414"/>
      <c r="U179" s="1563"/>
      <c r="V179" s="1458"/>
      <c r="W179" s="1351"/>
      <c r="X179" s="1535"/>
      <c r="Y179" s="1355"/>
      <c r="Z179" s="1535"/>
      <c r="AA179" s="1355"/>
      <c r="AB179" s="1535"/>
      <c r="AC179" s="1355"/>
      <c r="AD179" s="1535"/>
      <c r="AE179" s="1355"/>
      <c r="AF179" s="1355"/>
      <c r="AG179" s="1355"/>
      <c r="AH179" s="1361"/>
      <c r="AI179" s="1482"/>
      <c r="AJ179" s="1543"/>
      <c r="AK179" s="1539"/>
      <c r="AL179" s="1541"/>
      <c r="AM179" s="1572"/>
      <c r="AN179" s="1574"/>
      <c r="AO179" s="1404"/>
      <c r="AP179" s="1533"/>
      <c r="AQ179" s="1404"/>
      <c r="AR179" s="1584"/>
      <c r="AS179" s="1537"/>
      <c r="AT179" s="1532" t="str">
        <f t="shared" ref="AT179" si="198">IF(AV180="","",IF(OR(AB180="",AB180&lt;&gt;7,AD180="",AD180&lt;&gt;3),"！算定期間の終わりが令和７年３月になっていません。年度内の廃止予定等がなければ、算定対象月を令和７年３月にしてください。",""))</f>
        <v/>
      </c>
      <c r="AU179" s="674"/>
      <c r="AV179" s="1493"/>
      <c r="AW179" s="1518" t="str">
        <f>IF('別紙様式2-2（４・５月分）'!O138="","",'別紙様式2-2（４・５月分）'!O138)</f>
        <v/>
      </c>
      <c r="AX179" s="1507"/>
      <c r="AY179" s="1589"/>
      <c r="AZ179" s="521"/>
      <c r="BE179" s="428"/>
      <c r="BF179" s="1493" t="str">
        <f>G178</f>
        <v/>
      </c>
      <c r="BG179" s="1493"/>
      <c r="BH179" s="1493"/>
    </row>
    <row r="180" spans="1:60" ht="15" customHeight="1">
      <c r="A180" s="1240"/>
      <c r="B180" s="1272"/>
      <c r="C180" s="1261"/>
      <c r="D180" s="1261"/>
      <c r="E180" s="1261"/>
      <c r="F180" s="1262"/>
      <c r="G180" s="1266"/>
      <c r="H180" s="1266"/>
      <c r="I180" s="1266"/>
      <c r="J180" s="1372"/>
      <c r="K180" s="1266"/>
      <c r="L180" s="1451"/>
      <c r="M180" s="1453"/>
      <c r="N180" s="1371"/>
      <c r="O180" s="1368"/>
      <c r="P180" s="1390" t="s">
        <v>2179</v>
      </c>
      <c r="Q180" s="1504" t="str">
        <f>IFERROR(VLOOKUP('別紙様式2-2（４・５月分）'!AR137,【参考】数式用!$AT$5:$AV$22,3,FALSE),"")</f>
        <v/>
      </c>
      <c r="R180" s="1388" t="s">
        <v>2190</v>
      </c>
      <c r="S180" s="1394" t="str">
        <f>IFERROR(VLOOKUP(K178,【参考】数式用!$A$5:$AB$27,MATCH(Q180,【参考】数式用!$B$4:$AB$4,0)+1,0),"")</f>
        <v/>
      </c>
      <c r="T180" s="1459" t="s">
        <v>2267</v>
      </c>
      <c r="U180" s="1569"/>
      <c r="V180" s="1463" t="str">
        <f>IFERROR(VLOOKUP(K178,【参考】数式用!$A$5:$AB$27,MATCH(U180,【参考】数式用!$B$4:$AB$4,0)+1,0),"")</f>
        <v/>
      </c>
      <c r="W180" s="1465" t="s">
        <v>19</v>
      </c>
      <c r="X180" s="1564"/>
      <c r="Y180" s="1407" t="s">
        <v>10</v>
      </c>
      <c r="Z180" s="1564"/>
      <c r="AA180" s="1407" t="s">
        <v>45</v>
      </c>
      <c r="AB180" s="1564"/>
      <c r="AC180" s="1407" t="s">
        <v>10</v>
      </c>
      <c r="AD180" s="1564"/>
      <c r="AE180" s="1407" t="s">
        <v>2172</v>
      </c>
      <c r="AF180" s="1407" t="s">
        <v>24</v>
      </c>
      <c r="AG180" s="1407" t="str">
        <f>IF(X180&gt;=1,(AB180*12+AD180)-(X180*12+Z180)+1,"")</f>
        <v/>
      </c>
      <c r="AH180" s="1409" t="s">
        <v>38</v>
      </c>
      <c r="AI180" s="1411" t="str">
        <f t="shared" ref="AI180" si="199">IFERROR(ROUNDDOWN(ROUND(L178*V180,0)*M178,0)*AG180,"")</f>
        <v/>
      </c>
      <c r="AJ180" s="1577" t="str">
        <f>IFERROR(ROUNDDOWN(ROUND((L178*(V180-AX178)),0)*M178,0)*AG180,"")</f>
        <v/>
      </c>
      <c r="AK180" s="1494" t="str">
        <f>IFERROR(ROUNDDOWN(ROUNDDOWN(ROUND(L178*VLOOKUP(K178,【参考】数式用!$A$5:$AB$27,MATCH("新加算Ⅳ",【参考】数式用!$B$4:$AB$4,0)+1,0),0)*M178,0)*AG180*0.5,0),"")</f>
        <v/>
      </c>
      <c r="AL180" s="1579"/>
      <c r="AM180" s="1585" t="str">
        <f>IFERROR(IF('別紙様式2-2（４・５月分）'!Q139="ベア加算","", IF(OR(U180="新加算Ⅰ",U180="新加算Ⅱ",U180="新加算Ⅲ",U180="新加算Ⅳ"),ROUNDDOWN(ROUND(L178*VLOOKUP(K178,【参考】数式用!$A$5:$I$27,MATCH("ベア加算",【参考】数式用!$B$4:$I$4,0)+1,0),0)*M178,0)*AG180,"")),"")</f>
        <v/>
      </c>
      <c r="AN180" s="1548"/>
      <c r="AO180" s="1554"/>
      <c r="AP180" s="1552"/>
      <c r="AQ180" s="1554"/>
      <c r="AR180" s="1556"/>
      <c r="AS180" s="1558"/>
      <c r="AT180" s="1532"/>
      <c r="AU180" s="542"/>
      <c r="AV180" s="1493" t="str">
        <f t="shared" ref="AV180" si="200">IF(OR(AB178&lt;&gt;7,AD178&lt;&gt;3),"V列に色付け","")</f>
        <v/>
      </c>
      <c r="AW180" s="1518"/>
      <c r="AX180" s="1507"/>
      <c r="AY180" s="671"/>
      <c r="AZ180" s="1321" t="str">
        <f>IF(AM180&lt;&gt;"",IF(AN180="○","入力済","未入力"),"")</f>
        <v/>
      </c>
      <c r="BA180" s="1321"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321" t="str">
        <f>IF(OR(U180="新加算Ⅴ（７）",U180="新加算Ⅴ（９）",U180="新加算Ⅴ（10）",U180="新加算Ⅴ（12）",U180="新加算Ⅴ（13）",U180="新加算Ⅴ（14）"),IF(OR(AP180="○",AP180="令和６年度中に満たす"),"入力済","未入力"),"")</f>
        <v/>
      </c>
      <c r="BC180" s="1321" t="str">
        <f>IF(OR(U180="新加算Ⅰ",U180="新加算Ⅱ",U180="新加算Ⅲ",U180="新加算Ⅴ（１）",U180="新加算Ⅴ（３）",U180="新加算Ⅴ（８）"),IF(OR(AQ180="○",AQ180="令和６年度中に満たす"),"入力済","未入力"),"")</f>
        <v/>
      </c>
      <c r="BD180" s="1588"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493" t="str">
        <f>IF(OR(U180="新加算Ⅰ",U180="新加算Ⅴ（１）",U180="新加算Ⅴ（２）",U180="新加算Ⅴ（５）",U180="新加算Ⅴ（７）",U180="新加算Ⅴ（10）"),IF(AS180="","未入力","入力済"),"")</f>
        <v/>
      </c>
      <c r="BF180" s="1493" t="str">
        <f>G178</f>
        <v/>
      </c>
      <c r="BG180" s="1493"/>
      <c r="BH180" s="1493"/>
    </row>
    <row r="181" spans="1:60" ht="30" customHeight="1" thickBot="1">
      <c r="A181" s="1227"/>
      <c r="B181" s="1376"/>
      <c r="C181" s="1377"/>
      <c r="D181" s="1377"/>
      <c r="E181" s="1377"/>
      <c r="F181" s="1378"/>
      <c r="G181" s="1267"/>
      <c r="H181" s="1267"/>
      <c r="I181" s="1267"/>
      <c r="J181" s="1373"/>
      <c r="K181" s="1267"/>
      <c r="L181" s="1452"/>
      <c r="M181" s="1454"/>
      <c r="N181" s="650" t="str">
        <f>IF('別紙様式2-2（４・５月分）'!Q139="","",'別紙様式2-2（４・５月分）'!Q139)</f>
        <v/>
      </c>
      <c r="O181" s="1369"/>
      <c r="P181" s="1391"/>
      <c r="Q181" s="1505"/>
      <c r="R181" s="1389"/>
      <c r="S181" s="1395"/>
      <c r="T181" s="1460"/>
      <c r="U181" s="1570"/>
      <c r="V181" s="1464"/>
      <c r="W181" s="1466"/>
      <c r="X181" s="1565"/>
      <c r="Y181" s="1408"/>
      <c r="Z181" s="1565"/>
      <c r="AA181" s="1408"/>
      <c r="AB181" s="1565"/>
      <c r="AC181" s="1408"/>
      <c r="AD181" s="1565"/>
      <c r="AE181" s="1408"/>
      <c r="AF181" s="1408"/>
      <c r="AG181" s="1408"/>
      <c r="AH181" s="1410"/>
      <c r="AI181" s="1412"/>
      <c r="AJ181" s="1578"/>
      <c r="AK181" s="1495"/>
      <c r="AL181" s="1580"/>
      <c r="AM181" s="1586"/>
      <c r="AN181" s="1549"/>
      <c r="AO181" s="1555"/>
      <c r="AP181" s="1553"/>
      <c r="AQ181" s="1555"/>
      <c r="AR181" s="1557"/>
      <c r="AS181" s="1559"/>
      <c r="AT181" s="672" t="str">
        <f t="shared" ref="AT181" si="201">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42"/>
      <c r="AV181" s="1493"/>
      <c r="AW181" s="652" t="str">
        <f>IF('別紙様式2-2（４・５月分）'!O139="","",'別紙様式2-2（４・５月分）'!O139)</f>
        <v/>
      </c>
      <c r="AX181" s="1507"/>
      <c r="AY181" s="673"/>
      <c r="AZ181" s="1321" t="str">
        <f>IF(OR(U181="新加算Ⅰ",U181="新加算Ⅱ",U181="新加算Ⅲ",U181="新加算Ⅳ",U181="新加算Ⅴ（１）",U181="新加算Ⅴ（２）",U181="新加算Ⅴ（３）",U181="新加算ⅠⅤ（４）",U181="新加算Ⅴ（５）",U181="新加算Ⅴ（６）",U181="新加算Ⅴ（８）",U181="新加算Ⅴ（11）"),IF(AJ181="○","","未入力"),"")</f>
        <v/>
      </c>
      <c r="BA181" s="1321" t="str">
        <f>IF(OR(V181="新加算Ⅰ",V181="新加算Ⅱ",V181="新加算Ⅲ",V181="新加算Ⅳ",V181="新加算Ⅴ（１）",V181="新加算Ⅴ（２）",V181="新加算Ⅴ（３）",V181="新加算ⅠⅤ（４）",V181="新加算Ⅴ（５）",V181="新加算Ⅴ（６）",V181="新加算Ⅴ（８）",V181="新加算Ⅴ（11）"),IF(AK181="○","","未入力"),"")</f>
        <v/>
      </c>
      <c r="BB181" s="1321" t="str">
        <f>IF(OR(V181="新加算Ⅴ（７）",V181="新加算Ⅴ（９）",V181="新加算Ⅴ（10）",V181="新加算Ⅴ（12）",V181="新加算Ⅴ（13）",V181="新加算Ⅴ（14）"),IF(AL181="○","","未入力"),"")</f>
        <v/>
      </c>
      <c r="BC181" s="1321" t="str">
        <f>IF(OR(V181="新加算Ⅰ",V181="新加算Ⅱ",V181="新加算Ⅲ",V181="新加算Ⅴ（１）",V181="新加算Ⅴ（３）",V181="新加算Ⅴ（８）"),IF(AM181="○","","未入力"),"")</f>
        <v/>
      </c>
      <c r="BD181" s="1588"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493" t="str">
        <f>IF(AND(U181&lt;&gt;"（参考）令和７年度の移行予定",OR(V181="新加算Ⅰ",V181="新加算Ⅴ（１）",V181="新加算Ⅴ（２）",V181="新加算Ⅴ（５）",V181="新加算Ⅴ（７）",V181="新加算Ⅴ（10）")),IF(AO181="","未入力",IF(AO181="いずれも取得していない","要件を満たさない","")),"")</f>
        <v/>
      </c>
      <c r="BF181" s="1493" t="str">
        <f>G178</f>
        <v/>
      </c>
      <c r="BG181" s="1493"/>
      <c r="BH181" s="1493"/>
    </row>
    <row r="182" spans="1:60" ht="30" customHeight="1">
      <c r="A182" s="1225">
        <v>43</v>
      </c>
      <c r="B182" s="1271" t="str">
        <f>IF(基本情報入力シート!C96="","",基本情報入力シート!C96)</f>
        <v/>
      </c>
      <c r="C182" s="1259"/>
      <c r="D182" s="1259"/>
      <c r="E182" s="1259"/>
      <c r="F182" s="1260"/>
      <c r="G182" s="1265" t="str">
        <f>IF(基本情報入力シート!M96="","",基本情報入力シート!M96)</f>
        <v/>
      </c>
      <c r="H182" s="1265" t="str">
        <f>IF(基本情報入力シート!R96="","",基本情報入力シート!R96)</f>
        <v/>
      </c>
      <c r="I182" s="1265" t="str">
        <f>IF(基本情報入力シート!W96="","",基本情報入力シート!W96)</f>
        <v/>
      </c>
      <c r="J182" s="1379" t="str">
        <f>IF(基本情報入力シート!X96="","",基本情報入力シート!X96)</f>
        <v/>
      </c>
      <c r="K182" s="1265" t="str">
        <f>IF(基本情報入力シート!Y96="","",基本情報入力シート!Y96)</f>
        <v/>
      </c>
      <c r="L182" s="1450" t="str">
        <f>IF(基本情報入力シート!AB96="","",基本情報入力シート!AB96)</f>
        <v/>
      </c>
      <c r="M182" s="1447" t="str">
        <f>IF(基本情報入力シート!AC96="","",基本情報入力シート!AC96)</f>
        <v/>
      </c>
      <c r="N182" s="647" t="str">
        <f>IF('別紙様式2-2（４・５月分）'!Q140="","",'別紙様式2-2（４・５月分）'!Q140)</f>
        <v/>
      </c>
      <c r="O182" s="1366" t="str">
        <f>IF(SUM('別紙様式2-2（４・５月分）'!R140:R142)=0,"",SUM('別紙様式2-2（４・５月分）'!R140:R142))</f>
        <v/>
      </c>
      <c r="P182" s="1380" t="str">
        <f>IFERROR(VLOOKUP('別紙様式2-2（４・５月分）'!AR140,【参考】数式用!$AT$5:$AU$22,2,FALSE),"")</f>
        <v/>
      </c>
      <c r="Q182" s="1381"/>
      <c r="R182" s="1382"/>
      <c r="S182" s="1392" t="str">
        <f>IFERROR(VLOOKUP(K182,【参考】数式用!$A$5:$AB$27,MATCH(P182,【参考】数式用!$B$4:$AB$4,0)+1,0),"")</f>
        <v/>
      </c>
      <c r="T182" s="1413" t="s">
        <v>2258</v>
      </c>
      <c r="U182" s="1562" t="str">
        <f>IF('別紙様式2-3（６月以降分）'!U182="","",'別紙様式2-3（６月以降分）'!U182)</f>
        <v/>
      </c>
      <c r="V182" s="1457" t="str">
        <f>IFERROR(VLOOKUP(K182,【参考】数式用!$A$5:$AB$27,MATCH(U182,【参考】数式用!$B$4:$AB$4,0)+1,0),"")</f>
        <v/>
      </c>
      <c r="W182" s="1350" t="s">
        <v>19</v>
      </c>
      <c r="X182" s="1534">
        <f>'別紙様式2-3（６月以降分）'!X182</f>
        <v>6</v>
      </c>
      <c r="Y182" s="1354" t="s">
        <v>10</v>
      </c>
      <c r="Z182" s="1534">
        <f>'別紙様式2-3（６月以降分）'!Z182</f>
        <v>6</v>
      </c>
      <c r="AA182" s="1354" t="s">
        <v>45</v>
      </c>
      <c r="AB182" s="1534">
        <f>'別紙様式2-3（６月以降分）'!AB182</f>
        <v>7</v>
      </c>
      <c r="AC182" s="1354" t="s">
        <v>10</v>
      </c>
      <c r="AD182" s="1534">
        <f>'別紙様式2-3（６月以降分）'!AD182</f>
        <v>3</v>
      </c>
      <c r="AE182" s="1354" t="s">
        <v>2172</v>
      </c>
      <c r="AF182" s="1354" t="s">
        <v>24</v>
      </c>
      <c r="AG182" s="1354">
        <f>IF(X182&gt;=1,(AB182*12+AD182)-(X182*12+Z182)+1,"")</f>
        <v>10</v>
      </c>
      <c r="AH182" s="1360" t="s">
        <v>38</v>
      </c>
      <c r="AI182" s="1481" t="str">
        <f>'別紙様式2-3（６月以降分）'!AI182</f>
        <v/>
      </c>
      <c r="AJ182" s="1542" t="str">
        <f>'別紙様式2-3（６月以降分）'!AJ182</f>
        <v/>
      </c>
      <c r="AK182" s="1538">
        <f>'別紙様式2-3（６月以降分）'!AK182</f>
        <v>0</v>
      </c>
      <c r="AL182" s="1540" t="str">
        <f>IF('別紙様式2-3（６月以降分）'!AL182="","",'別紙様式2-3（６月以降分）'!AL182)</f>
        <v/>
      </c>
      <c r="AM182" s="1571">
        <f>'別紙様式2-3（６月以降分）'!AM182</f>
        <v>0</v>
      </c>
      <c r="AN182" s="1573" t="str">
        <f>IF('別紙様式2-3（６月以降分）'!AN182="","",'別紙様式2-3（６月以降分）'!AN182)</f>
        <v/>
      </c>
      <c r="AO182" s="1403" t="str">
        <f>IF('別紙様式2-3（６月以降分）'!AO182="","",'別紙様式2-3（６月以降分）'!AO182)</f>
        <v/>
      </c>
      <c r="AP182" s="1502" t="str">
        <f>IF('別紙様式2-3（６月以降分）'!AP182="","",'別紙様式2-3（６月以降分）'!AP182)</f>
        <v/>
      </c>
      <c r="AQ182" s="1403" t="str">
        <f>IF('別紙様式2-3（６月以降分）'!AQ182="","",'別紙様式2-3（６月以降分）'!AQ182)</f>
        <v/>
      </c>
      <c r="AR182" s="1583" t="str">
        <f>IF('別紙様式2-3（６月以降分）'!AR182="","",'別紙様式2-3（６月以降分）'!AR182)</f>
        <v/>
      </c>
      <c r="AS182" s="1536" t="str">
        <f>IF('別紙様式2-3（６月以降分）'!AS182="","",'別紙様式2-3（６月以降分）'!AS182)</f>
        <v/>
      </c>
      <c r="AT182" s="667" t="str">
        <f t="shared" ref="AT182" si="202">IF(AV184="","",IF(V184&lt;V182,"！加算の要件上は問題ありませんが、令和６年度当初の新加算の加算率と比較して、移行後の加算率が下がる計画になっています。",""))</f>
        <v/>
      </c>
      <c r="AU182" s="674"/>
      <c r="AV182" s="1233"/>
      <c r="AW182" s="652" t="str">
        <f>IF('別紙様式2-2（４・５月分）'!O140="","",'別紙様式2-2（４・５月分）'!O140)</f>
        <v/>
      </c>
      <c r="AX182" s="1507" t="str">
        <f>IF(SUM('別紙様式2-2（４・５月分）'!P140:P142)=0,"",SUM('別紙様式2-2（４・５月分）'!P140:P142))</f>
        <v/>
      </c>
      <c r="AY182" s="1590" t="str">
        <f>IFERROR(VLOOKUP(K182,【参考】数式用!$AJ$2:$AK$24,2,FALSE),"")</f>
        <v/>
      </c>
      <c r="AZ182" s="584"/>
      <c r="BE182" s="428"/>
      <c r="BF182" s="1493" t="str">
        <f>G182</f>
        <v/>
      </c>
      <c r="BG182" s="1493"/>
      <c r="BH182" s="1493"/>
    </row>
    <row r="183" spans="1:60" ht="15" customHeight="1">
      <c r="A183" s="1226"/>
      <c r="B183" s="1272"/>
      <c r="C183" s="1261"/>
      <c r="D183" s="1261"/>
      <c r="E183" s="1261"/>
      <c r="F183" s="1262"/>
      <c r="G183" s="1266"/>
      <c r="H183" s="1266"/>
      <c r="I183" s="1266"/>
      <c r="J183" s="1372"/>
      <c r="K183" s="1266"/>
      <c r="L183" s="1451"/>
      <c r="M183" s="1448"/>
      <c r="N183" s="1370" t="str">
        <f>IF('別紙様式2-2（４・５月分）'!Q141="","",'別紙様式2-2（４・５月分）'!Q141)</f>
        <v/>
      </c>
      <c r="O183" s="1367"/>
      <c r="P183" s="1383"/>
      <c r="Q183" s="1384"/>
      <c r="R183" s="1385"/>
      <c r="S183" s="1393"/>
      <c r="T183" s="1414"/>
      <c r="U183" s="1563"/>
      <c r="V183" s="1458"/>
      <c r="W183" s="1351"/>
      <c r="X183" s="1535"/>
      <c r="Y183" s="1355"/>
      <c r="Z183" s="1535"/>
      <c r="AA183" s="1355"/>
      <c r="AB183" s="1535"/>
      <c r="AC183" s="1355"/>
      <c r="AD183" s="1535"/>
      <c r="AE183" s="1355"/>
      <c r="AF183" s="1355"/>
      <c r="AG183" s="1355"/>
      <c r="AH183" s="1361"/>
      <c r="AI183" s="1482"/>
      <c r="AJ183" s="1543"/>
      <c r="AK183" s="1539"/>
      <c r="AL183" s="1541"/>
      <c r="AM183" s="1572"/>
      <c r="AN183" s="1574"/>
      <c r="AO183" s="1404"/>
      <c r="AP183" s="1533"/>
      <c r="AQ183" s="1404"/>
      <c r="AR183" s="1584"/>
      <c r="AS183" s="1537"/>
      <c r="AT183" s="1532" t="str">
        <f t="shared" ref="AT183" si="203">IF(AV184="","",IF(OR(AB184="",AB184&lt;&gt;7,AD184="",AD184&lt;&gt;3),"！算定期間の終わりが令和７年３月になっていません。年度内の廃止予定等がなければ、算定対象月を令和７年３月にしてください。",""))</f>
        <v/>
      </c>
      <c r="AU183" s="674"/>
      <c r="AV183" s="1493"/>
      <c r="AW183" s="1518" t="str">
        <f>IF('別紙様式2-2（４・５月分）'!O141="","",'別紙様式2-2（４・５月分）'!O141)</f>
        <v/>
      </c>
      <c r="AX183" s="1507"/>
      <c r="AY183" s="1589"/>
      <c r="AZ183" s="521"/>
      <c r="BE183" s="428"/>
      <c r="BF183" s="1493" t="str">
        <f>G182</f>
        <v/>
      </c>
      <c r="BG183" s="1493"/>
      <c r="BH183" s="1493"/>
    </row>
    <row r="184" spans="1:60" ht="15" customHeight="1">
      <c r="A184" s="1240"/>
      <c r="B184" s="1272"/>
      <c r="C184" s="1261"/>
      <c r="D184" s="1261"/>
      <c r="E184" s="1261"/>
      <c r="F184" s="1262"/>
      <c r="G184" s="1266"/>
      <c r="H184" s="1266"/>
      <c r="I184" s="1266"/>
      <c r="J184" s="1372"/>
      <c r="K184" s="1266"/>
      <c r="L184" s="1451"/>
      <c r="M184" s="1448"/>
      <c r="N184" s="1371"/>
      <c r="O184" s="1368"/>
      <c r="P184" s="1390" t="s">
        <v>2179</v>
      </c>
      <c r="Q184" s="1504" t="str">
        <f>IFERROR(VLOOKUP('別紙様式2-2（４・５月分）'!AR140,【参考】数式用!$AT$5:$AV$22,3,FALSE),"")</f>
        <v/>
      </c>
      <c r="R184" s="1388" t="s">
        <v>2190</v>
      </c>
      <c r="S184" s="1396" t="str">
        <f>IFERROR(VLOOKUP(K182,【参考】数式用!$A$5:$AB$27,MATCH(Q184,【参考】数式用!$B$4:$AB$4,0)+1,0),"")</f>
        <v/>
      </c>
      <c r="T184" s="1459" t="s">
        <v>2267</v>
      </c>
      <c r="U184" s="1569"/>
      <c r="V184" s="1463" t="str">
        <f>IFERROR(VLOOKUP(K182,【参考】数式用!$A$5:$AB$27,MATCH(U184,【参考】数式用!$B$4:$AB$4,0)+1,0),"")</f>
        <v/>
      </c>
      <c r="W184" s="1465" t="s">
        <v>19</v>
      </c>
      <c r="X184" s="1564"/>
      <c r="Y184" s="1407" t="s">
        <v>10</v>
      </c>
      <c r="Z184" s="1564"/>
      <c r="AA184" s="1407" t="s">
        <v>45</v>
      </c>
      <c r="AB184" s="1564"/>
      <c r="AC184" s="1407" t="s">
        <v>10</v>
      </c>
      <c r="AD184" s="1564"/>
      <c r="AE184" s="1407" t="s">
        <v>2172</v>
      </c>
      <c r="AF184" s="1407" t="s">
        <v>24</v>
      </c>
      <c r="AG184" s="1407" t="str">
        <f>IF(X184&gt;=1,(AB184*12+AD184)-(X184*12+Z184)+1,"")</f>
        <v/>
      </c>
      <c r="AH184" s="1409" t="s">
        <v>38</v>
      </c>
      <c r="AI184" s="1411" t="str">
        <f t="shared" ref="AI184" si="204">IFERROR(ROUNDDOWN(ROUND(L182*V184,0)*M182,0)*AG184,"")</f>
        <v/>
      </c>
      <c r="AJ184" s="1577" t="str">
        <f>IFERROR(ROUNDDOWN(ROUND((L182*(V184-AX182)),0)*M182,0)*AG184,"")</f>
        <v/>
      </c>
      <c r="AK184" s="1494" t="str">
        <f>IFERROR(ROUNDDOWN(ROUNDDOWN(ROUND(L182*VLOOKUP(K182,【参考】数式用!$A$5:$AB$27,MATCH("新加算Ⅳ",【参考】数式用!$B$4:$AB$4,0)+1,0),0)*M182,0)*AG184*0.5,0),"")</f>
        <v/>
      </c>
      <c r="AL184" s="1579"/>
      <c r="AM184" s="1585" t="str">
        <f>IFERROR(IF('別紙様式2-2（４・５月分）'!Q142="ベア加算","", IF(OR(U184="新加算Ⅰ",U184="新加算Ⅱ",U184="新加算Ⅲ",U184="新加算Ⅳ"),ROUNDDOWN(ROUND(L182*VLOOKUP(K182,【参考】数式用!$A$5:$I$27,MATCH("ベア加算",【参考】数式用!$B$4:$I$4,0)+1,0),0)*M182,0)*AG184,"")),"")</f>
        <v/>
      </c>
      <c r="AN184" s="1548"/>
      <c r="AO184" s="1554"/>
      <c r="AP184" s="1552"/>
      <c r="AQ184" s="1554"/>
      <c r="AR184" s="1556"/>
      <c r="AS184" s="1558"/>
      <c r="AT184" s="1532"/>
      <c r="AU184" s="542"/>
      <c r="AV184" s="1493" t="str">
        <f t="shared" ref="AV184" si="205">IF(OR(AB182&lt;&gt;7,AD182&lt;&gt;3),"V列に色付け","")</f>
        <v/>
      </c>
      <c r="AW184" s="1518"/>
      <c r="AX184" s="1507"/>
      <c r="AY184" s="671"/>
      <c r="AZ184" s="1321" t="str">
        <f>IF(AM184&lt;&gt;"",IF(AN184="○","入力済","未入力"),"")</f>
        <v/>
      </c>
      <c r="BA184" s="1321"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321" t="str">
        <f>IF(OR(U184="新加算Ⅴ（７）",U184="新加算Ⅴ（９）",U184="新加算Ⅴ（10）",U184="新加算Ⅴ（12）",U184="新加算Ⅴ（13）",U184="新加算Ⅴ（14）"),IF(OR(AP184="○",AP184="令和６年度中に満たす"),"入力済","未入力"),"")</f>
        <v/>
      </c>
      <c r="BC184" s="1321" t="str">
        <f>IF(OR(U184="新加算Ⅰ",U184="新加算Ⅱ",U184="新加算Ⅲ",U184="新加算Ⅴ（１）",U184="新加算Ⅴ（３）",U184="新加算Ⅴ（８）"),IF(OR(AQ184="○",AQ184="令和６年度中に満たす"),"入力済","未入力"),"")</f>
        <v/>
      </c>
      <c r="BD184" s="1588"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493" t="str">
        <f>IF(OR(U184="新加算Ⅰ",U184="新加算Ⅴ（１）",U184="新加算Ⅴ（２）",U184="新加算Ⅴ（５）",U184="新加算Ⅴ（７）",U184="新加算Ⅴ（10）"),IF(AS184="","未入力","入力済"),"")</f>
        <v/>
      </c>
      <c r="BF184" s="1493" t="str">
        <f>G182</f>
        <v/>
      </c>
      <c r="BG184" s="1493"/>
      <c r="BH184" s="1493"/>
    </row>
    <row r="185" spans="1:60" ht="30" customHeight="1" thickBot="1">
      <c r="A185" s="1227"/>
      <c r="B185" s="1376"/>
      <c r="C185" s="1377"/>
      <c r="D185" s="1377"/>
      <c r="E185" s="1377"/>
      <c r="F185" s="1378"/>
      <c r="G185" s="1267"/>
      <c r="H185" s="1267"/>
      <c r="I185" s="1267"/>
      <c r="J185" s="1373"/>
      <c r="K185" s="1267"/>
      <c r="L185" s="1452"/>
      <c r="M185" s="1449"/>
      <c r="N185" s="650" t="str">
        <f>IF('別紙様式2-2（４・５月分）'!Q142="","",'別紙様式2-2（４・５月分）'!Q142)</f>
        <v/>
      </c>
      <c r="O185" s="1369"/>
      <c r="P185" s="1391"/>
      <c r="Q185" s="1505"/>
      <c r="R185" s="1389"/>
      <c r="S185" s="1395"/>
      <c r="T185" s="1460"/>
      <c r="U185" s="1570"/>
      <c r="V185" s="1464"/>
      <c r="W185" s="1466"/>
      <c r="X185" s="1565"/>
      <c r="Y185" s="1408"/>
      <c r="Z185" s="1565"/>
      <c r="AA185" s="1408"/>
      <c r="AB185" s="1565"/>
      <c r="AC185" s="1408"/>
      <c r="AD185" s="1565"/>
      <c r="AE185" s="1408"/>
      <c r="AF185" s="1408"/>
      <c r="AG185" s="1408"/>
      <c r="AH185" s="1410"/>
      <c r="AI185" s="1412"/>
      <c r="AJ185" s="1578"/>
      <c r="AK185" s="1495"/>
      <c r="AL185" s="1580"/>
      <c r="AM185" s="1586"/>
      <c r="AN185" s="1549"/>
      <c r="AO185" s="1555"/>
      <c r="AP185" s="1553"/>
      <c r="AQ185" s="1555"/>
      <c r="AR185" s="1557"/>
      <c r="AS185" s="1559"/>
      <c r="AT185" s="672" t="str">
        <f t="shared" ref="AT185" si="206">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42"/>
      <c r="AV185" s="1493"/>
      <c r="AW185" s="652" t="str">
        <f>IF('別紙様式2-2（４・５月分）'!O142="","",'別紙様式2-2（４・５月分）'!O142)</f>
        <v/>
      </c>
      <c r="AX185" s="1507"/>
      <c r="AY185" s="673"/>
      <c r="AZ185" s="1321" t="str">
        <f>IF(OR(U185="新加算Ⅰ",U185="新加算Ⅱ",U185="新加算Ⅲ",U185="新加算Ⅳ",U185="新加算Ⅴ（１）",U185="新加算Ⅴ（２）",U185="新加算Ⅴ（３）",U185="新加算ⅠⅤ（４）",U185="新加算Ⅴ（５）",U185="新加算Ⅴ（６）",U185="新加算Ⅴ（８）",U185="新加算Ⅴ（11）"),IF(AJ185="○","","未入力"),"")</f>
        <v/>
      </c>
      <c r="BA185" s="1321" t="str">
        <f>IF(OR(V185="新加算Ⅰ",V185="新加算Ⅱ",V185="新加算Ⅲ",V185="新加算Ⅳ",V185="新加算Ⅴ（１）",V185="新加算Ⅴ（２）",V185="新加算Ⅴ（３）",V185="新加算ⅠⅤ（４）",V185="新加算Ⅴ（５）",V185="新加算Ⅴ（６）",V185="新加算Ⅴ（８）",V185="新加算Ⅴ（11）"),IF(AK185="○","","未入力"),"")</f>
        <v/>
      </c>
      <c r="BB185" s="1321" t="str">
        <f>IF(OR(V185="新加算Ⅴ（７）",V185="新加算Ⅴ（９）",V185="新加算Ⅴ（10）",V185="新加算Ⅴ（12）",V185="新加算Ⅴ（13）",V185="新加算Ⅴ（14）"),IF(AL185="○","","未入力"),"")</f>
        <v/>
      </c>
      <c r="BC185" s="1321" t="str">
        <f>IF(OR(V185="新加算Ⅰ",V185="新加算Ⅱ",V185="新加算Ⅲ",V185="新加算Ⅴ（１）",V185="新加算Ⅴ（３）",V185="新加算Ⅴ（８）"),IF(AM185="○","","未入力"),"")</f>
        <v/>
      </c>
      <c r="BD185" s="1588"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493" t="str">
        <f>IF(AND(U185&lt;&gt;"（参考）令和７年度の移行予定",OR(V185="新加算Ⅰ",V185="新加算Ⅴ（１）",V185="新加算Ⅴ（２）",V185="新加算Ⅴ（５）",V185="新加算Ⅴ（７）",V185="新加算Ⅴ（10）")),IF(AO185="","未入力",IF(AO185="いずれも取得していない","要件を満たさない","")),"")</f>
        <v/>
      </c>
      <c r="BF185" s="1493" t="str">
        <f>G182</f>
        <v/>
      </c>
      <c r="BG185" s="1493"/>
      <c r="BH185" s="1493"/>
    </row>
    <row r="186" spans="1:60" ht="30" customHeight="1">
      <c r="A186" s="1241">
        <v>44</v>
      </c>
      <c r="B186" s="1272" t="str">
        <f>IF(基本情報入力シート!C97="","",基本情報入力シート!C97)</f>
        <v/>
      </c>
      <c r="C186" s="1261"/>
      <c r="D186" s="1261"/>
      <c r="E186" s="1261"/>
      <c r="F186" s="1262"/>
      <c r="G186" s="1266" t="str">
        <f>IF(基本情報入力シート!M97="","",基本情報入力シート!M97)</f>
        <v/>
      </c>
      <c r="H186" s="1266" t="str">
        <f>IF(基本情報入力シート!R97="","",基本情報入力シート!R97)</f>
        <v/>
      </c>
      <c r="I186" s="1266" t="str">
        <f>IF(基本情報入力シート!W97="","",基本情報入力シート!W97)</f>
        <v/>
      </c>
      <c r="J186" s="1372" t="str">
        <f>IF(基本情報入力シート!X97="","",基本情報入力シート!X97)</f>
        <v/>
      </c>
      <c r="K186" s="1266" t="str">
        <f>IF(基本情報入力シート!Y97="","",基本情報入力シート!Y97)</f>
        <v/>
      </c>
      <c r="L186" s="1451" t="str">
        <f>IF(基本情報入力シート!AB97="","",基本情報入力シート!AB97)</f>
        <v/>
      </c>
      <c r="M186" s="1453" t="str">
        <f>IF(基本情報入力シート!AC97="","",基本情報入力シート!AC97)</f>
        <v/>
      </c>
      <c r="N186" s="647" t="str">
        <f>IF('別紙様式2-2（４・５月分）'!Q143="","",'別紙様式2-2（４・５月分）'!Q143)</f>
        <v/>
      </c>
      <c r="O186" s="1366" t="str">
        <f>IF(SUM('別紙様式2-2（４・５月分）'!R143:R145)=0,"",SUM('別紙様式2-2（４・５月分）'!R143:R145))</f>
        <v/>
      </c>
      <c r="P186" s="1380" t="str">
        <f>IFERROR(VLOOKUP('別紙様式2-2（４・５月分）'!AR143,【参考】数式用!$AT$5:$AU$22,2,FALSE),"")</f>
        <v/>
      </c>
      <c r="Q186" s="1381"/>
      <c r="R186" s="1382"/>
      <c r="S186" s="1392" t="str">
        <f>IFERROR(VLOOKUP(K186,【参考】数式用!$A$5:$AB$27,MATCH(P186,【参考】数式用!$B$4:$AB$4,0)+1,0),"")</f>
        <v/>
      </c>
      <c r="T186" s="1413" t="s">
        <v>2258</v>
      </c>
      <c r="U186" s="1562" t="str">
        <f>IF('別紙様式2-3（６月以降分）'!U186="","",'別紙様式2-3（６月以降分）'!U186)</f>
        <v/>
      </c>
      <c r="V186" s="1457" t="str">
        <f>IFERROR(VLOOKUP(K186,【参考】数式用!$A$5:$AB$27,MATCH(U186,【参考】数式用!$B$4:$AB$4,0)+1,0),"")</f>
        <v/>
      </c>
      <c r="W186" s="1350" t="s">
        <v>19</v>
      </c>
      <c r="X186" s="1534">
        <f>'別紙様式2-3（６月以降分）'!X186</f>
        <v>6</v>
      </c>
      <c r="Y186" s="1354" t="s">
        <v>10</v>
      </c>
      <c r="Z186" s="1534">
        <f>'別紙様式2-3（６月以降分）'!Z186</f>
        <v>6</v>
      </c>
      <c r="AA186" s="1354" t="s">
        <v>45</v>
      </c>
      <c r="AB186" s="1534">
        <f>'別紙様式2-3（６月以降分）'!AB186</f>
        <v>7</v>
      </c>
      <c r="AC186" s="1354" t="s">
        <v>10</v>
      </c>
      <c r="AD186" s="1534">
        <f>'別紙様式2-3（６月以降分）'!AD186</f>
        <v>3</v>
      </c>
      <c r="AE186" s="1354" t="s">
        <v>2172</v>
      </c>
      <c r="AF186" s="1354" t="s">
        <v>24</v>
      </c>
      <c r="AG186" s="1354">
        <f>IF(X186&gt;=1,(AB186*12+AD186)-(X186*12+Z186)+1,"")</f>
        <v>10</v>
      </c>
      <c r="AH186" s="1360" t="s">
        <v>38</v>
      </c>
      <c r="AI186" s="1481" t="str">
        <f>'別紙様式2-3（６月以降分）'!AI186</f>
        <v/>
      </c>
      <c r="AJ186" s="1542" t="str">
        <f>'別紙様式2-3（６月以降分）'!AJ186</f>
        <v/>
      </c>
      <c r="AK186" s="1538">
        <f>'別紙様式2-3（６月以降分）'!AK186</f>
        <v>0</v>
      </c>
      <c r="AL186" s="1540" t="str">
        <f>IF('別紙様式2-3（６月以降分）'!AL186="","",'別紙様式2-3（６月以降分）'!AL186)</f>
        <v/>
      </c>
      <c r="AM186" s="1571">
        <f>'別紙様式2-3（６月以降分）'!AM186</f>
        <v>0</v>
      </c>
      <c r="AN186" s="1573" t="str">
        <f>IF('別紙様式2-3（６月以降分）'!AN186="","",'別紙様式2-3（６月以降分）'!AN186)</f>
        <v/>
      </c>
      <c r="AO186" s="1403" t="str">
        <f>IF('別紙様式2-3（６月以降分）'!AO186="","",'別紙様式2-3（６月以降分）'!AO186)</f>
        <v/>
      </c>
      <c r="AP186" s="1502" t="str">
        <f>IF('別紙様式2-3（６月以降分）'!AP186="","",'別紙様式2-3（６月以降分）'!AP186)</f>
        <v/>
      </c>
      <c r="AQ186" s="1403" t="str">
        <f>IF('別紙様式2-3（６月以降分）'!AQ186="","",'別紙様式2-3（６月以降分）'!AQ186)</f>
        <v/>
      </c>
      <c r="AR186" s="1583" t="str">
        <f>IF('別紙様式2-3（６月以降分）'!AR186="","",'別紙様式2-3（６月以降分）'!AR186)</f>
        <v/>
      </c>
      <c r="AS186" s="1536" t="str">
        <f>IF('別紙様式2-3（６月以降分）'!AS186="","",'別紙様式2-3（６月以降分）'!AS186)</f>
        <v/>
      </c>
      <c r="AT186" s="667" t="str">
        <f t="shared" ref="AT186" si="207">IF(AV188="","",IF(V188&lt;V186,"！加算の要件上は問題ありませんが、令和６年度当初の新加算の加算率と比較して、移行後の加算率が下がる計画になっています。",""))</f>
        <v/>
      </c>
      <c r="AU186" s="674"/>
      <c r="AV186" s="1233"/>
      <c r="AW186" s="652" t="str">
        <f>IF('別紙様式2-2（４・５月分）'!O143="","",'別紙様式2-2（４・５月分）'!O143)</f>
        <v/>
      </c>
      <c r="AX186" s="1507" t="str">
        <f>IF(SUM('別紙様式2-2（４・５月分）'!P143:P145)=0,"",SUM('別紙様式2-2（４・５月分）'!P143:P145))</f>
        <v/>
      </c>
      <c r="AY186" s="1589" t="str">
        <f>IFERROR(VLOOKUP(K186,【参考】数式用!$AJ$2:$AK$24,2,FALSE),"")</f>
        <v/>
      </c>
      <c r="AZ186" s="584"/>
      <c r="BE186" s="428"/>
      <c r="BF186" s="1493" t="str">
        <f>G186</f>
        <v/>
      </c>
      <c r="BG186" s="1493"/>
      <c r="BH186" s="1493"/>
    </row>
    <row r="187" spans="1:60" ht="15" customHeight="1">
      <c r="A187" s="1226"/>
      <c r="B187" s="1272"/>
      <c r="C187" s="1261"/>
      <c r="D187" s="1261"/>
      <c r="E187" s="1261"/>
      <c r="F187" s="1262"/>
      <c r="G187" s="1266"/>
      <c r="H187" s="1266"/>
      <c r="I187" s="1266"/>
      <c r="J187" s="1372"/>
      <c r="K187" s="1266"/>
      <c r="L187" s="1451"/>
      <c r="M187" s="1453"/>
      <c r="N187" s="1370" t="str">
        <f>IF('別紙様式2-2（４・５月分）'!Q144="","",'別紙様式2-2（４・５月分）'!Q144)</f>
        <v/>
      </c>
      <c r="O187" s="1367"/>
      <c r="P187" s="1383"/>
      <c r="Q187" s="1384"/>
      <c r="R187" s="1385"/>
      <c r="S187" s="1393"/>
      <c r="T187" s="1414"/>
      <c r="U187" s="1563"/>
      <c r="V187" s="1458"/>
      <c r="W187" s="1351"/>
      <c r="X187" s="1535"/>
      <c r="Y187" s="1355"/>
      <c r="Z187" s="1535"/>
      <c r="AA187" s="1355"/>
      <c r="AB187" s="1535"/>
      <c r="AC187" s="1355"/>
      <c r="AD187" s="1535"/>
      <c r="AE187" s="1355"/>
      <c r="AF187" s="1355"/>
      <c r="AG187" s="1355"/>
      <c r="AH187" s="1361"/>
      <c r="AI187" s="1482"/>
      <c r="AJ187" s="1543"/>
      <c r="AK187" s="1539"/>
      <c r="AL187" s="1541"/>
      <c r="AM187" s="1572"/>
      <c r="AN187" s="1574"/>
      <c r="AO187" s="1404"/>
      <c r="AP187" s="1533"/>
      <c r="AQ187" s="1404"/>
      <c r="AR187" s="1584"/>
      <c r="AS187" s="1537"/>
      <c r="AT187" s="1532" t="str">
        <f t="shared" ref="AT187" si="208">IF(AV188="","",IF(OR(AB188="",AB188&lt;&gt;7,AD188="",AD188&lt;&gt;3),"！算定期間の終わりが令和７年３月になっていません。年度内の廃止予定等がなければ、算定対象月を令和７年３月にしてください。",""))</f>
        <v/>
      </c>
      <c r="AU187" s="674"/>
      <c r="AV187" s="1493"/>
      <c r="AW187" s="1518" t="str">
        <f>IF('別紙様式2-2（４・５月分）'!O144="","",'別紙様式2-2（４・５月分）'!O144)</f>
        <v/>
      </c>
      <c r="AX187" s="1507"/>
      <c r="AY187" s="1589"/>
      <c r="AZ187" s="521"/>
      <c r="BE187" s="428"/>
      <c r="BF187" s="1493" t="str">
        <f>G186</f>
        <v/>
      </c>
      <c r="BG187" s="1493"/>
      <c r="BH187" s="1493"/>
    </row>
    <row r="188" spans="1:60" ht="15" customHeight="1">
      <c r="A188" s="1240"/>
      <c r="B188" s="1272"/>
      <c r="C188" s="1261"/>
      <c r="D188" s="1261"/>
      <c r="E188" s="1261"/>
      <c r="F188" s="1262"/>
      <c r="G188" s="1266"/>
      <c r="H188" s="1266"/>
      <c r="I188" s="1266"/>
      <c r="J188" s="1372"/>
      <c r="K188" s="1266"/>
      <c r="L188" s="1451"/>
      <c r="M188" s="1453"/>
      <c r="N188" s="1371"/>
      <c r="O188" s="1368"/>
      <c r="P188" s="1390" t="s">
        <v>2179</v>
      </c>
      <c r="Q188" s="1504" t="str">
        <f>IFERROR(VLOOKUP('別紙様式2-2（４・５月分）'!AR143,【参考】数式用!$AT$5:$AV$22,3,FALSE),"")</f>
        <v/>
      </c>
      <c r="R188" s="1388" t="s">
        <v>2190</v>
      </c>
      <c r="S188" s="1394" t="str">
        <f>IFERROR(VLOOKUP(K186,【参考】数式用!$A$5:$AB$27,MATCH(Q188,【参考】数式用!$B$4:$AB$4,0)+1,0),"")</f>
        <v/>
      </c>
      <c r="T188" s="1459" t="s">
        <v>2267</v>
      </c>
      <c r="U188" s="1569"/>
      <c r="V188" s="1463" t="str">
        <f>IFERROR(VLOOKUP(K186,【参考】数式用!$A$5:$AB$27,MATCH(U188,【参考】数式用!$B$4:$AB$4,0)+1,0),"")</f>
        <v/>
      </c>
      <c r="W188" s="1465" t="s">
        <v>19</v>
      </c>
      <c r="X188" s="1564"/>
      <c r="Y188" s="1407" t="s">
        <v>10</v>
      </c>
      <c r="Z188" s="1564"/>
      <c r="AA188" s="1407" t="s">
        <v>45</v>
      </c>
      <c r="AB188" s="1564"/>
      <c r="AC188" s="1407" t="s">
        <v>10</v>
      </c>
      <c r="AD188" s="1564"/>
      <c r="AE188" s="1407" t="s">
        <v>2172</v>
      </c>
      <c r="AF188" s="1407" t="s">
        <v>24</v>
      </c>
      <c r="AG188" s="1407" t="str">
        <f>IF(X188&gt;=1,(AB188*12+AD188)-(X188*12+Z188)+1,"")</f>
        <v/>
      </c>
      <c r="AH188" s="1409" t="s">
        <v>38</v>
      </c>
      <c r="AI188" s="1411" t="str">
        <f t="shared" ref="AI188" si="209">IFERROR(ROUNDDOWN(ROUND(L186*V188,0)*M186,0)*AG188,"")</f>
        <v/>
      </c>
      <c r="AJ188" s="1577" t="str">
        <f>IFERROR(ROUNDDOWN(ROUND((L186*(V188-AX186)),0)*M186,0)*AG188,"")</f>
        <v/>
      </c>
      <c r="AK188" s="1494" t="str">
        <f>IFERROR(ROUNDDOWN(ROUNDDOWN(ROUND(L186*VLOOKUP(K186,【参考】数式用!$A$5:$AB$27,MATCH("新加算Ⅳ",【参考】数式用!$B$4:$AB$4,0)+1,0),0)*M186,0)*AG188*0.5,0),"")</f>
        <v/>
      </c>
      <c r="AL188" s="1579"/>
      <c r="AM188" s="1585" t="str">
        <f>IFERROR(IF('別紙様式2-2（４・５月分）'!Q145="ベア加算","", IF(OR(U188="新加算Ⅰ",U188="新加算Ⅱ",U188="新加算Ⅲ",U188="新加算Ⅳ"),ROUNDDOWN(ROUND(L186*VLOOKUP(K186,【参考】数式用!$A$5:$I$27,MATCH("ベア加算",【参考】数式用!$B$4:$I$4,0)+1,0),0)*M186,0)*AG188,"")),"")</f>
        <v/>
      </c>
      <c r="AN188" s="1548"/>
      <c r="AO188" s="1554"/>
      <c r="AP188" s="1552"/>
      <c r="AQ188" s="1554"/>
      <c r="AR188" s="1556"/>
      <c r="AS188" s="1558"/>
      <c r="AT188" s="1532"/>
      <c r="AU188" s="542"/>
      <c r="AV188" s="1493" t="str">
        <f t="shared" ref="AV188" si="210">IF(OR(AB186&lt;&gt;7,AD186&lt;&gt;3),"V列に色付け","")</f>
        <v/>
      </c>
      <c r="AW188" s="1518"/>
      <c r="AX188" s="1507"/>
      <c r="AY188" s="671"/>
      <c r="AZ188" s="1321" t="str">
        <f>IF(AM188&lt;&gt;"",IF(AN188="○","入力済","未入力"),"")</f>
        <v/>
      </c>
      <c r="BA188" s="1321"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321" t="str">
        <f>IF(OR(U188="新加算Ⅴ（７）",U188="新加算Ⅴ（９）",U188="新加算Ⅴ（10）",U188="新加算Ⅴ（12）",U188="新加算Ⅴ（13）",U188="新加算Ⅴ（14）"),IF(OR(AP188="○",AP188="令和６年度中に満たす"),"入力済","未入力"),"")</f>
        <v/>
      </c>
      <c r="BC188" s="1321" t="str">
        <f>IF(OR(U188="新加算Ⅰ",U188="新加算Ⅱ",U188="新加算Ⅲ",U188="新加算Ⅴ（１）",U188="新加算Ⅴ（３）",U188="新加算Ⅴ（８）"),IF(OR(AQ188="○",AQ188="令和６年度中に満たす"),"入力済","未入力"),"")</f>
        <v/>
      </c>
      <c r="BD188" s="1588"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493" t="str">
        <f>IF(OR(U188="新加算Ⅰ",U188="新加算Ⅴ（１）",U188="新加算Ⅴ（２）",U188="新加算Ⅴ（５）",U188="新加算Ⅴ（７）",U188="新加算Ⅴ（10）"),IF(AS188="","未入力","入力済"),"")</f>
        <v/>
      </c>
      <c r="BF188" s="1493" t="str">
        <f>G186</f>
        <v/>
      </c>
      <c r="BG188" s="1493"/>
      <c r="BH188" s="1493"/>
    </row>
    <row r="189" spans="1:60" ht="30" customHeight="1" thickBot="1">
      <c r="A189" s="1227"/>
      <c r="B189" s="1376"/>
      <c r="C189" s="1377"/>
      <c r="D189" s="1377"/>
      <c r="E189" s="1377"/>
      <c r="F189" s="1378"/>
      <c r="G189" s="1267"/>
      <c r="H189" s="1267"/>
      <c r="I189" s="1267"/>
      <c r="J189" s="1373"/>
      <c r="K189" s="1267"/>
      <c r="L189" s="1452"/>
      <c r="M189" s="1454"/>
      <c r="N189" s="650" t="str">
        <f>IF('別紙様式2-2（４・５月分）'!Q145="","",'別紙様式2-2（４・５月分）'!Q145)</f>
        <v/>
      </c>
      <c r="O189" s="1369"/>
      <c r="P189" s="1391"/>
      <c r="Q189" s="1505"/>
      <c r="R189" s="1389"/>
      <c r="S189" s="1395"/>
      <c r="T189" s="1460"/>
      <c r="U189" s="1570"/>
      <c r="V189" s="1464"/>
      <c r="W189" s="1466"/>
      <c r="X189" s="1565"/>
      <c r="Y189" s="1408"/>
      <c r="Z189" s="1565"/>
      <c r="AA189" s="1408"/>
      <c r="AB189" s="1565"/>
      <c r="AC189" s="1408"/>
      <c r="AD189" s="1565"/>
      <c r="AE189" s="1408"/>
      <c r="AF189" s="1408"/>
      <c r="AG189" s="1408"/>
      <c r="AH189" s="1410"/>
      <c r="AI189" s="1412"/>
      <c r="AJ189" s="1578"/>
      <c r="AK189" s="1495"/>
      <c r="AL189" s="1580"/>
      <c r="AM189" s="1586"/>
      <c r="AN189" s="1549"/>
      <c r="AO189" s="1555"/>
      <c r="AP189" s="1553"/>
      <c r="AQ189" s="1555"/>
      <c r="AR189" s="1557"/>
      <c r="AS189" s="1559"/>
      <c r="AT189" s="672" t="str">
        <f t="shared" ref="AT189" si="211">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42"/>
      <c r="AV189" s="1493"/>
      <c r="AW189" s="652" t="str">
        <f>IF('別紙様式2-2（４・５月分）'!O145="","",'別紙様式2-2（４・５月分）'!O145)</f>
        <v/>
      </c>
      <c r="AX189" s="1507"/>
      <c r="AY189" s="673"/>
      <c r="AZ189" s="1321" t="str">
        <f>IF(OR(U189="新加算Ⅰ",U189="新加算Ⅱ",U189="新加算Ⅲ",U189="新加算Ⅳ",U189="新加算Ⅴ（１）",U189="新加算Ⅴ（２）",U189="新加算Ⅴ（３）",U189="新加算ⅠⅤ（４）",U189="新加算Ⅴ（５）",U189="新加算Ⅴ（６）",U189="新加算Ⅴ（８）",U189="新加算Ⅴ（11）"),IF(AJ189="○","","未入力"),"")</f>
        <v/>
      </c>
      <c r="BA189" s="1321" t="str">
        <f>IF(OR(V189="新加算Ⅰ",V189="新加算Ⅱ",V189="新加算Ⅲ",V189="新加算Ⅳ",V189="新加算Ⅴ（１）",V189="新加算Ⅴ（２）",V189="新加算Ⅴ（３）",V189="新加算ⅠⅤ（４）",V189="新加算Ⅴ（５）",V189="新加算Ⅴ（６）",V189="新加算Ⅴ（８）",V189="新加算Ⅴ（11）"),IF(AK189="○","","未入力"),"")</f>
        <v/>
      </c>
      <c r="BB189" s="1321" t="str">
        <f>IF(OR(V189="新加算Ⅴ（７）",V189="新加算Ⅴ（９）",V189="新加算Ⅴ（10）",V189="新加算Ⅴ（12）",V189="新加算Ⅴ（13）",V189="新加算Ⅴ（14）"),IF(AL189="○","","未入力"),"")</f>
        <v/>
      </c>
      <c r="BC189" s="1321" t="str">
        <f>IF(OR(V189="新加算Ⅰ",V189="新加算Ⅱ",V189="新加算Ⅲ",V189="新加算Ⅴ（１）",V189="新加算Ⅴ（３）",V189="新加算Ⅴ（８）"),IF(AM189="○","","未入力"),"")</f>
        <v/>
      </c>
      <c r="BD189" s="1588"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493" t="str">
        <f>IF(AND(U189&lt;&gt;"（参考）令和７年度の移行予定",OR(V189="新加算Ⅰ",V189="新加算Ⅴ（１）",V189="新加算Ⅴ（２）",V189="新加算Ⅴ（５）",V189="新加算Ⅴ（７）",V189="新加算Ⅴ（10）")),IF(AO189="","未入力",IF(AO189="いずれも取得していない","要件を満たさない","")),"")</f>
        <v/>
      </c>
      <c r="BF189" s="1493" t="str">
        <f>G186</f>
        <v/>
      </c>
      <c r="BG189" s="1493"/>
      <c r="BH189" s="1493"/>
    </row>
    <row r="190" spans="1:60" ht="30" customHeight="1">
      <c r="A190" s="1225">
        <v>45</v>
      </c>
      <c r="B190" s="1271" t="str">
        <f>IF(基本情報入力シート!C98="","",基本情報入力シート!C98)</f>
        <v/>
      </c>
      <c r="C190" s="1259"/>
      <c r="D190" s="1259"/>
      <c r="E190" s="1259"/>
      <c r="F190" s="1260"/>
      <c r="G190" s="1265" t="str">
        <f>IF(基本情報入力シート!M98="","",基本情報入力シート!M98)</f>
        <v/>
      </c>
      <c r="H190" s="1265" t="str">
        <f>IF(基本情報入力シート!R98="","",基本情報入力シート!R98)</f>
        <v/>
      </c>
      <c r="I190" s="1265" t="str">
        <f>IF(基本情報入力シート!W98="","",基本情報入力シート!W98)</f>
        <v/>
      </c>
      <c r="J190" s="1379" t="str">
        <f>IF(基本情報入力シート!X98="","",基本情報入力シート!X98)</f>
        <v/>
      </c>
      <c r="K190" s="1265" t="str">
        <f>IF(基本情報入力シート!Y98="","",基本情報入力シート!Y98)</f>
        <v/>
      </c>
      <c r="L190" s="1450" t="str">
        <f>IF(基本情報入力シート!AB98="","",基本情報入力シート!AB98)</f>
        <v/>
      </c>
      <c r="M190" s="1447" t="str">
        <f>IF(基本情報入力シート!AC98="","",基本情報入力シート!AC98)</f>
        <v/>
      </c>
      <c r="N190" s="647" t="str">
        <f>IF('別紙様式2-2（４・５月分）'!Q146="","",'別紙様式2-2（４・５月分）'!Q146)</f>
        <v/>
      </c>
      <c r="O190" s="1366" t="str">
        <f>IF(SUM('別紙様式2-2（４・５月分）'!R146:R148)=0,"",SUM('別紙様式2-2（４・５月分）'!R146:R148))</f>
        <v/>
      </c>
      <c r="P190" s="1380" t="str">
        <f>IFERROR(VLOOKUP('別紙様式2-2（４・５月分）'!AR146,【参考】数式用!$AT$5:$AU$22,2,FALSE),"")</f>
        <v/>
      </c>
      <c r="Q190" s="1381"/>
      <c r="R190" s="1382"/>
      <c r="S190" s="1392" t="str">
        <f>IFERROR(VLOOKUP(K190,【参考】数式用!$A$5:$AB$27,MATCH(P190,【参考】数式用!$B$4:$AB$4,0)+1,0),"")</f>
        <v/>
      </c>
      <c r="T190" s="1413" t="s">
        <v>2258</v>
      </c>
      <c r="U190" s="1562" t="str">
        <f>IF('別紙様式2-3（６月以降分）'!U190="","",'別紙様式2-3（６月以降分）'!U190)</f>
        <v/>
      </c>
      <c r="V190" s="1457" t="str">
        <f>IFERROR(VLOOKUP(K190,【参考】数式用!$A$5:$AB$27,MATCH(U190,【参考】数式用!$B$4:$AB$4,0)+1,0),"")</f>
        <v/>
      </c>
      <c r="W190" s="1350" t="s">
        <v>19</v>
      </c>
      <c r="X190" s="1534">
        <f>'別紙様式2-3（６月以降分）'!X190</f>
        <v>6</v>
      </c>
      <c r="Y190" s="1354" t="s">
        <v>10</v>
      </c>
      <c r="Z190" s="1534">
        <f>'別紙様式2-3（６月以降分）'!Z190</f>
        <v>6</v>
      </c>
      <c r="AA190" s="1354" t="s">
        <v>45</v>
      </c>
      <c r="AB190" s="1534">
        <f>'別紙様式2-3（６月以降分）'!AB190</f>
        <v>7</v>
      </c>
      <c r="AC190" s="1354" t="s">
        <v>10</v>
      </c>
      <c r="AD190" s="1534">
        <f>'別紙様式2-3（６月以降分）'!AD190</f>
        <v>3</v>
      </c>
      <c r="AE190" s="1354" t="s">
        <v>2172</v>
      </c>
      <c r="AF190" s="1354" t="s">
        <v>24</v>
      </c>
      <c r="AG190" s="1354">
        <f>IF(X190&gt;=1,(AB190*12+AD190)-(X190*12+Z190)+1,"")</f>
        <v>10</v>
      </c>
      <c r="AH190" s="1360" t="s">
        <v>38</v>
      </c>
      <c r="AI190" s="1481" t="str">
        <f>'別紙様式2-3（６月以降分）'!AI190</f>
        <v/>
      </c>
      <c r="AJ190" s="1542" t="str">
        <f>'別紙様式2-3（６月以降分）'!AJ190</f>
        <v/>
      </c>
      <c r="AK190" s="1538">
        <f>'別紙様式2-3（６月以降分）'!AK190</f>
        <v>0</v>
      </c>
      <c r="AL190" s="1540" t="str">
        <f>IF('別紙様式2-3（６月以降分）'!AL190="","",'別紙様式2-3（６月以降分）'!AL190)</f>
        <v/>
      </c>
      <c r="AM190" s="1571">
        <f>'別紙様式2-3（６月以降分）'!AM190</f>
        <v>0</v>
      </c>
      <c r="AN190" s="1573" t="str">
        <f>IF('別紙様式2-3（６月以降分）'!AN190="","",'別紙様式2-3（６月以降分）'!AN190)</f>
        <v/>
      </c>
      <c r="AO190" s="1403" t="str">
        <f>IF('別紙様式2-3（６月以降分）'!AO190="","",'別紙様式2-3（６月以降分）'!AO190)</f>
        <v/>
      </c>
      <c r="AP190" s="1502" t="str">
        <f>IF('別紙様式2-3（６月以降分）'!AP190="","",'別紙様式2-3（６月以降分）'!AP190)</f>
        <v/>
      </c>
      <c r="AQ190" s="1403" t="str">
        <f>IF('別紙様式2-3（６月以降分）'!AQ190="","",'別紙様式2-3（６月以降分）'!AQ190)</f>
        <v/>
      </c>
      <c r="AR190" s="1583" t="str">
        <f>IF('別紙様式2-3（６月以降分）'!AR190="","",'別紙様式2-3（６月以降分）'!AR190)</f>
        <v/>
      </c>
      <c r="AS190" s="1536" t="str">
        <f>IF('別紙様式2-3（６月以降分）'!AS190="","",'別紙様式2-3（６月以降分）'!AS190)</f>
        <v/>
      </c>
      <c r="AT190" s="667" t="str">
        <f t="shared" ref="AT190" si="212">IF(AV192="","",IF(V192&lt;V190,"！加算の要件上は問題ありませんが、令和６年度当初の新加算の加算率と比較して、移行後の加算率が下がる計画になっています。",""))</f>
        <v/>
      </c>
      <c r="AU190" s="674"/>
      <c r="AV190" s="1233"/>
      <c r="AW190" s="652" t="str">
        <f>IF('別紙様式2-2（４・５月分）'!O146="","",'別紙様式2-2（４・５月分）'!O146)</f>
        <v/>
      </c>
      <c r="AX190" s="1507" t="str">
        <f>IF(SUM('別紙様式2-2（４・５月分）'!P146:P148)=0,"",SUM('別紙様式2-2（４・５月分）'!P146:P148))</f>
        <v/>
      </c>
      <c r="AY190" s="1590" t="str">
        <f>IFERROR(VLOOKUP(K190,【参考】数式用!$AJ$2:$AK$24,2,FALSE),"")</f>
        <v/>
      </c>
      <c r="AZ190" s="584"/>
      <c r="BE190" s="428"/>
      <c r="BF190" s="1493" t="str">
        <f>G190</f>
        <v/>
      </c>
      <c r="BG190" s="1493"/>
      <c r="BH190" s="1493"/>
    </row>
    <row r="191" spans="1:60" ht="15" customHeight="1">
      <c r="A191" s="1226"/>
      <c r="B191" s="1272"/>
      <c r="C191" s="1261"/>
      <c r="D191" s="1261"/>
      <c r="E191" s="1261"/>
      <c r="F191" s="1262"/>
      <c r="G191" s="1266"/>
      <c r="H191" s="1266"/>
      <c r="I191" s="1266"/>
      <c r="J191" s="1372"/>
      <c r="K191" s="1266"/>
      <c r="L191" s="1451"/>
      <c r="M191" s="1448"/>
      <c r="N191" s="1370" t="str">
        <f>IF('別紙様式2-2（４・５月分）'!Q147="","",'別紙様式2-2（４・５月分）'!Q147)</f>
        <v/>
      </c>
      <c r="O191" s="1367"/>
      <c r="P191" s="1383"/>
      <c r="Q191" s="1384"/>
      <c r="R191" s="1385"/>
      <c r="S191" s="1393"/>
      <c r="T191" s="1414"/>
      <c r="U191" s="1563"/>
      <c r="V191" s="1458"/>
      <c r="W191" s="1351"/>
      <c r="X191" s="1535"/>
      <c r="Y191" s="1355"/>
      <c r="Z191" s="1535"/>
      <c r="AA191" s="1355"/>
      <c r="AB191" s="1535"/>
      <c r="AC191" s="1355"/>
      <c r="AD191" s="1535"/>
      <c r="AE191" s="1355"/>
      <c r="AF191" s="1355"/>
      <c r="AG191" s="1355"/>
      <c r="AH191" s="1361"/>
      <c r="AI191" s="1482"/>
      <c r="AJ191" s="1543"/>
      <c r="AK191" s="1539"/>
      <c r="AL191" s="1541"/>
      <c r="AM191" s="1572"/>
      <c r="AN191" s="1574"/>
      <c r="AO191" s="1404"/>
      <c r="AP191" s="1533"/>
      <c r="AQ191" s="1404"/>
      <c r="AR191" s="1584"/>
      <c r="AS191" s="1537"/>
      <c r="AT191" s="1532" t="str">
        <f t="shared" ref="AT191" si="213">IF(AV192="","",IF(OR(AB192="",AB192&lt;&gt;7,AD192="",AD192&lt;&gt;3),"！算定期間の終わりが令和７年３月になっていません。年度内の廃止予定等がなければ、算定対象月を令和７年３月にしてください。",""))</f>
        <v/>
      </c>
      <c r="AU191" s="674"/>
      <c r="AV191" s="1493"/>
      <c r="AW191" s="1518" t="str">
        <f>IF('別紙様式2-2（４・５月分）'!O147="","",'別紙様式2-2（４・５月分）'!O147)</f>
        <v/>
      </c>
      <c r="AX191" s="1507"/>
      <c r="AY191" s="1589"/>
      <c r="AZ191" s="521"/>
      <c r="BE191" s="428"/>
      <c r="BF191" s="1493" t="str">
        <f>G190</f>
        <v/>
      </c>
      <c r="BG191" s="1493"/>
      <c r="BH191" s="1493"/>
    </row>
    <row r="192" spans="1:60" ht="15" customHeight="1">
      <c r="A192" s="1240"/>
      <c r="B192" s="1272"/>
      <c r="C192" s="1261"/>
      <c r="D192" s="1261"/>
      <c r="E192" s="1261"/>
      <c r="F192" s="1262"/>
      <c r="G192" s="1266"/>
      <c r="H192" s="1266"/>
      <c r="I192" s="1266"/>
      <c r="J192" s="1372"/>
      <c r="K192" s="1266"/>
      <c r="L192" s="1451"/>
      <c r="M192" s="1448"/>
      <c r="N192" s="1371"/>
      <c r="O192" s="1368"/>
      <c r="P192" s="1390" t="s">
        <v>2179</v>
      </c>
      <c r="Q192" s="1504" t="str">
        <f>IFERROR(VLOOKUP('別紙様式2-2（４・５月分）'!AR146,【参考】数式用!$AT$5:$AV$22,3,FALSE),"")</f>
        <v/>
      </c>
      <c r="R192" s="1388" t="s">
        <v>2190</v>
      </c>
      <c r="S192" s="1396" t="str">
        <f>IFERROR(VLOOKUP(K190,【参考】数式用!$A$5:$AB$27,MATCH(Q192,【参考】数式用!$B$4:$AB$4,0)+1,0),"")</f>
        <v/>
      </c>
      <c r="T192" s="1459" t="s">
        <v>2267</v>
      </c>
      <c r="U192" s="1569"/>
      <c r="V192" s="1463" t="str">
        <f>IFERROR(VLOOKUP(K190,【参考】数式用!$A$5:$AB$27,MATCH(U192,【参考】数式用!$B$4:$AB$4,0)+1,0),"")</f>
        <v/>
      </c>
      <c r="W192" s="1465" t="s">
        <v>19</v>
      </c>
      <c r="X192" s="1564"/>
      <c r="Y192" s="1407" t="s">
        <v>10</v>
      </c>
      <c r="Z192" s="1564"/>
      <c r="AA192" s="1407" t="s">
        <v>45</v>
      </c>
      <c r="AB192" s="1564"/>
      <c r="AC192" s="1407" t="s">
        <v>10</v>
      </c>
      <c r="AD192" s="1564"/>
      <c r="AE192" s="1407" t="s">
        <v>2172</v>
      </c>
      <c r="AF192" s="1407" t="s">
        <v>24</v>
      </c>
      <c r="AG192" s="1407" t="str">
        <f>IF(X192&gt;=1,(AB192*12+AD192)-(X192*12+Z192)+1,"")</f>
        <v/>
      </c>
      <c r="AH192" s="1409" t="s">
        <v>38</v>
      </c>
      <c r="AI192" s="1411" t="str">
        <f t="shared" ref="AI192" si="214">IFERROR(ROUNDDOWN(ROUND(L190*V192,0)*M190,0)*AG192,"")</f>
        <v/>
      </c>
      <c r="AJ192" s="1577" t="str">
        <f>IFERROR(ROUNDDOWN(ROUND((L190*(V192-AX190)),0)*M190,0)*AG192,"")</f>
        <v/>
      </c>
      <c r="AK192" s="1494" t="str">
        <f>IFERROR(ROUNDDOWN(ROUNDDOWN(ROUND(L190*VLOOKUP(K190,【参考】数式用!$A$5:$AB$27,MATCH("新加算Ⅳ",【参考】数式用!$B$4:$AB$4,0)+1,0),0)*M190,0)*AG192*0.5,0),"")</f>
        <v/>
      </c>
      <c r="AL192" s="1579"/>
      <c r="AM192" s="1585" t="str">
        <f>IFERROR(IF('別紙様式2-2（４・５月分）'!Q148="ベア加算","", IF(OR(U192="新加算Ⅰ",U192="新加算Ⅱ",U192="新加算Ⅲ",U192="新加算Ⅳ"),ROUNDDOWN(ROUND(L190*VLOOKUP(K190,【参考】数式用!$A$5:$I$27,MATCH("ベア加算",【参考】数式用!$B$4:$I$4,0)+1,0),0)*M190,0)*AG192,"")),"")</f>
        <v/>
      </c>
      <c r="AN192" s="1548"/>
      <c r="AO192" s="1554"/>
      <c r="AP192" s="1552"/>
      <c r="AQ192" s="1554"/>
      <c r="AR192" s="1556"/>
      <c r="AS192" s="1558"/>
      <c r="AT192" s="1532"/>
      <c r="AU192" s="542"/>
      <c r="AV192" s="1493" t="str">
        <f t="shared" ref="AV192" si="215">IF(OR(AB190&lt;&gt;7,AD190&lt;&gt;3),"V列に色付け","")</f>
        <v/>
      </c>
      <c r="AW192" s="1518"/>
      <c r="AX192" s="1507"/>
      <c r="AY192" s="671"/>
      <c r="AZ192" s="1321" t="str">
        <f>IF(AM192&lt;&gt;"",IF(AN192="○","入力済","未入力"),"")</f>
        <v/>
      </c>
      <c r="BA192" s="1321"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321" t="str">
        <f>IF(OR(U192="新加算Ⅴ（７）",U192="新加算Ⅴ（９）",U192="新加算Ⅴ（10）",U192="新加算Ⅴ（12）",U192="新加算Ⅴ（13）",U192="新加算Ⅴ（14）"),IF(OR(AP192="○",AP192="令和６年度中に満たす"),"入力済","未入力"),"")</f>
        <v/>
      </c>
      <c r="BC192" s="1321" t="str">
        <f>IF(OR(U192="新加算Ⅰ",U192="新加算Ⅱ",U192="新加算Ⅲ",U192="新加算Ⅴ（１）",U192="新加算Ⅴ（３）",U192="新加算Ⅴ（８）"),IF(OR(AQ192="○",AQ192="令和６年度中に満たす"),"入力済","未入力"),"")</f>
        <v/>
      </c>
      <c r="BD192" s="1588"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493" t="str">
        <f>IF(OR(U192="新加算Ⅰ",U192="新加算Ⅴ（１）",U192="新加算Ⅴ（２）",U192="新加算Ⅴ（５）",U192="新加算Ⅴ（７）",U192="新加算Ⅴ（10）"),IF(AS192="","未入力","入力済"),"")</f>
        <v/>
      </c>
      <c r="BF192" s="1493" t="str">
        <f>G190</f>
        <v/>
      </c>
      <c r="BG192" s="1493"/>
      <c r="BH192" s="1493"/>
    </row>
    <row r="193" spans="1:60" ht="30" customHeight="1" thickBot="1">
      <c r="A193" s="1227"/>
      <c r="B193" s="1376"/>
      <c r="C193" s="1377"/>
      <c r="D193" s="1377"/>
      <c r="E193" s="1377"/>
      <c r="F193" s="1378"/>
      <c r="G193" s="1267"/>
      <c r="H193" s="1267"/>
      <c r="I193" s="1267"/>
      <c r="J193" s="1373"/>
      <c r="K193" s="1267"/>
      <c r="L193" s="1452"/>
      <c r="M193" s="1449"/>
      <c r="N193" s="650" t="str">
        <f>IF('別紙様式2-2（４・５月分）'!Q148="","",'別紙様式2-2（４・５月分）'!Q148)</f>
        <v/>
      </c>
      <c r="O193" s="1369"/>
      <c r="P193" s="1391"/>
      <c r="Q193" s="1505"/>
      <c r="R193" s="1389"/>
      <c r="S193" s="1395"/>
      <c r="T193" s="1460"/>
      <c r="U193" s="1570"/>
      <c r="V193" s="1464"/>
      <c r="W193" s="1466"/>
      <c r="X193" s="1565"/>
      <c r="Y193" s="1408"/>
      <c r="Z193" s="1565"/>
      <c r="AA193" s="1408"/>
      <c r="AB193" s="1565"/>
      <c r="AC193" s="1408"/>
      <c r="AD193" s="1565"/>
      <c r="AE193" s="1408"/>
      <c r="AF193" s="1408"/>
      <c r="AG193" s="1408"/>
      <c r="AH193" s="1410"/>
      <c r="AI193" s="1412"/>
      <c r="AJ193" s="1578"/>
      <c r="AK193" s="1495"/>
      <c r="AL193" s="1580"/>
      <c r="AM193" s="1586"/>
      <c r="AN193" s="1549"/>
      <c r="AO193" s="1555"/>
      <c r="AP193" s="1553"/>
      <c r="AQ193" s="1555"/>
      <c r="AR193" s="1557"/>
      <c r="AS193" s="1559"/>
      <c r="AT193" s="672" t="str">
        <f t="shared" ref="AT193" si="216">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42"/>
      <c r="AV193" s="1493"/>
      <c r="AW193" s="652" t="str">
        <f>IF('別紙様式2-2（４・５月分）'!O148="","",'別紙様式2-2（４・５月分）'!O148)</f>
        <v/>
      </c>
      <c r="AX193" s="1507"/>
      <c r="AY193" s="673"/>
      <c r="AZ193" s="1321" t="str">
        <f>IF(OR(U193="新加算Ⅰ",U193="新加算Ⅱ",U193="新加算Ⅲ",U193="新加算Ⅳ",U193="新加算Ⅴ（１）",U193="新加算Ⅴ（２）",U193="新加算Ⅴ（３）",U193="新加算ⅠⅤ（４）",U193="新加算Ⅴ（５）",U193="新加算Ⅴ（６）",U193="新加算Ⅴ（８）",U193="新加算Ⅴ（11）"),IF(AJ193="○","","未入力"),"")</f>
        <v/>
      </c>
      <c r="BA193" s="1321" t="str">
        <f>IF(OR(V193="新加算Ⅰ",V193="新加算Ⅱ",V193="新加算Ⅲ",V193="新加算Ⅳ",V193="新加算Ⅴ（１）",V193="新加算Ⅴ（２）",V193="新加算Ⅴ（３）",V193="新加算ⅠⅤ（４）",V193="新加算Ⅴ（５）",V193="新加算Ⅴ（６）",V193="新加算Ⅴ（８）",V193="新加算Ⅴ（11）"),IF(AK193="○","","未入力"),"")</f>
        <v/>
      </c>
      <c r="BB193" s="1321" t="str">
        <f>IF(OR(V193="新加算Ⅴ（７）",V193="新加算Ⅴ（９）",V193="新加算Ⅴ（10）",V193="新加算Ⅴ（12）",V193="新加算Ⅴ（13）",V193="新加算Ⅴ（14）"),IF(AL193="○","","未入力"),"")</f>
        <v/>
      </c>
      <c r="BC193" s="1321" t="str">
        <f>IF(OR(V193="新加算Ⅰ",V193="新加算Ⅱ",V193="新加算Ⅲ",V193="新加算Ⅴ（１）",V193="新加算Ⅴ（３）",V193="新加算Ⅴ（８）"),IF(AM193="○","","未入力"),"")</f>
        <v/>
      </c>
      <c r="BD193" s="1588"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493" t="str">
        <f>IF(AND(U193&lt;&gt;"（参考）令和７年度の移行予定",OR(V193="新加算Ⅰ",V193="新加算Ⅴ（１）",V193="新加算Ⅴ（２）",V193="新加算Ⅴ（５）",V193="新加算Ⅴ（７）",V193="新加算Ⅴ（10）")),IF(AO193="","未入力",IF(AO193="いずれも取得していない","要件を満たさない","")),"")</f>
        <v/>
      </c>
      <c r="BF193" s="1493" t="str">
        <f>G190</f>
        <v/>
      </c>
      <c r="BG193" s="1493"/>
      <c r="BH193" s="1493"/>
    </row>
    <row r="194" spans="1:60" ht="30" customHeight="1">
      <c r="A194" s="1241">
        <v>46</v>
      </c>
      <c r="B194" s="1272" t="str">
        <f>IF(基本情報入力シート!C99="","",基本情報入力シート!C99)</f>
        <v/>
      </c>
      <c r="C194" s="1261"/>
      <c r="D194" s="1261"/>
      <c r="E194" s="1261"/>
      <c r="F194" s="1262"/>
      <c r="G194" s="1266" t="str">
        <f>IF(基本情報入力シート!M99="","",基本情報入力シート!M99)</f>
        <v/>
      </c>
      <c r="H194" s="1266" t="str">
        <f>IF(基本情報入力シート!R99="","",基本情報入力シート!R99)</f>
        <v/>
      </c>
      <c r="I194" s="1266" t="str">
        <f>IF(基本情報入力シート!W99="","",基本情報入力シート!W99)</f>
        <v/>
      </c>
      <c r="J194" s="1372" t="str">
        <f>IF(基本情報入力シート!X99="","",基本情報入力シート!X99)</f>
        <v/>
      </c>
      <c r="K194" s="1266" t="str">
        <f>IF(基本情報入力シート!Y99="","",基本情報入力シート!Y99)</f>
        <v/>
      </c>
      <c r="L194" s="1451" t="str">
        <f>IF(基本情報入力シート!AB99="","",基本情報入力シート!AB99)</f>
        <v/>
      </c>
      <c r="M194" s="1453" t="str">
        <f>IF(基本情報入力シート!AC99="","",基本情報入力シート!AC99)</f>
        <v/>
      </c>
      <c r="N194" s="647" t="str">
        <f>IF('別紙様式2-2（４・５月分）'!Q149="","",'別紙様式2-2（４・５月分）'!Q149)</f>
        <v/>
      </c>
      <c r="O194" s="1366" t="str">
        <f>IF(SUM('別紙様式2-2（４・５月分）'!R149:R151)=0,"",SUM('別紙様式2-2（４・５月分）'!R149:R151))</f>
        <v/>
      </c>
      <c r="P194" s="1380" t="str">
        <f>IFERROR(VLOOKUP('別紙様式2-2（４・５月分）'!AR149,【参考】数式用!$AT$5:$AU$22,2,FALSE),"")</f>
        <v/>
      </c>
      <c r="Q194" s="1381"/>
      <c r="R194" s="1382"/>
      <c r="S194" s="1392" t="str">
        <f>IFERROR(VLOOKUP(K194,【参考】数式用!$A$5:$AB$27,MATCH(P194,【参考】数式用!$B$4:$AB$4,0)+1,0),"")</f>
        <v/>
      </c>
      <c r="T194" s="1413" t="s">
        <v>2258</v>
      </c>
      <c r="U194" s="1562" t="str">
        <f>IF('別紙様式2-3（６月以降分）'!U194="","",'別紙様式2-3（６月以降分）'!U194)</f>
        <v/>
      </c>
      <c r="V194" s="1457" t="str">
        <f>IFERROR(VLOOKUP(K194,【参考】数式用!$A$5:$AB$27,MATCH(U194,【参考】数式用!$B$4:$AB$4,0)+1,0),"")</f>
        <v/>
      </c>
      <c r="W194" s="1350" t="s">
        <v>19</v>
      </c>
      <c r="X194" s="1534">
        <f>'別紙様式2-3（６月以降分）'!X194</f>
        <v>6</v>
      </c>
      <c r="Y194" s="1354" t="s">
        <v>10</v>
      </c>
      <c r="Z194" s="1534">
        <f>'別紙様式2-3（６月以降分）'!Z194</f>
        <v>6</v>
      </c>
      <c r="AA194" s="1354" t="s">
        <v>45</v>
      </c>
      <c r="AB194" s="1534">
        <f>'別紙様式2-3（６月以降分）'!AB194</f>
        <v>7</v>
      </c>
      <c r="AC194" s="1354" t="s">
        <v>10</v>
      </c>
      <c r="AD194" s="1534">
        <f>'別紙様式2-3（６月以降分）'!AD194</f>
        <v>3</v>
      </c>
      <c r="AE194" s="1354" t="s">
        <v>2172</v>
      </c>
      <c r="AF194" s="1354" t="s">
        <v>24</v>
      </c>
      <c r="AG194" s="1354">
        <f>IF(X194&gt;=1,(AB194*12+AD194)-(X194*12+Z194)+1,"")</f>
        <v>10</v>
      </c>
      <c r="AH194" s="1360" t="s">
        <v>38</v>
      </c>
      <c r="AI194" s="1481" t="str">
        <f>'別紙様式2-3（６月以降分）'!AI194</f>
        <v/>
      </c>
      <c r="AJ194" s="1542" t="str">
        <f>'別紙様式2-3（６月以降分）'!AJ194</f>
        <v/>
      </c>
      <c r="AK194" s="1538">
        <f>'別紙様式2-3（６月以降分）'!AK194</f>
        <v>0</v>
      </c>
      <c r="AL194" s="1540" t="str">
        <f>IF('別紙様式2-3（６月以降分）'!AL194="","",'別紙様式2-3（６月以降分）'!AL194)</f>
        <v/>
      </c>
      <c r="AM194" s="1571">
        <f>'別紙様式2-3（６月以降分）'!AM194</f>
        <v>0</v>
      </c>
      <c r="AN194" s="1573" t="str">
        <f>IF('別紙様式2-3（６月以降分）'!AN194="","",'別紙様式2-3（６月以降分）'!AN194)</f>
        <v/>
      </c>
      <c r="AO194" s="1403" t="str">
        <f>IF('別紙様式2-3（６月以降分）'!AO194="","",'別紙様式2-3（６月以降分）'!AO194)</f>
        <v/>
      </c>
      <c r="AP194" s="1502" t="str">
        <f>IF('別紙様式2-3（６月以降分）'!AP194="","",'別紙様式2-3（６月以降分）'!AP194)</f>
        <v/>
      </c>
      <c r="AQ194" s="1403" t="str">
        <f>IF('別紙様式2-3（６月以降分）'!AQ194="","",'別紙様式2-3（６月以降分）'!AQ194)</f>
        <v/>
      </c>
      <c r="AR194" s="1583" t="str">
        <f>IF('別紙様式2-3（６月以降分）'!AR194="","",'別紙様式2-3（６月以降分）'!AR194)</f>
        <v/>
      </c>
      <c r="AS194" s="1536" t="str">
        <f>IF('別紙様式2-3（６月以降分）'!AS194="","",'別紙様式2-3（６月以降分）'!AS194)</f>
        <v/>
      </c>
      <c r="AT194" s="667" t="str">
        <f t="shared" ref="AT194" si="217">IF(AV196="","",IF(V196&lt;V194,"！加算の要件上は問題ありませんが、令和６年度当初の新加算の加算率と比較して、移行後の加算率が下がる計画になっています。",""))</f>
        <v/>
      </c>
      <c r="AU194" s="674"/>
      <c r="AV194" s="1233"/>
      <c r="AW194" s="652" t="str">
        <f>IF('別紙様式2-2（４・５月分）'!O149="","",'別紙様式2-2（４・５月分）'!O149)</f>
        <v/>
      </c>
      <c r="AX194" s="1507" t="str">
        <f>IF(SUM('別紙様式2-2（４・５月分）'!P149:P151)=0,"",SUM('別紙様式2-2（４・５月分）'!P149:P151))</f>
        <v/>
      </c>
      <c r="AY194" s="1589" t="str">
        <f>IFERROR(VLOOKUP(K194,【参考】数式用!$AJ$2:$AK$24,2,FALSE),"")</f>
        <v/>
      </c>
      <c r="AZ194" s="584"/>
      <c r="BE194" s="428"/>
      <c r="BF194" s="1493" t="str">
        <f>G194</f>
        <v/>
      </c>
      <c r="BG194" s="1493"/>
      <c r="BH194" s="1493"/>
    </row>
    <row r="195" spans="1:60" ht="15" customHeight="1">
      <c r="A195" s="1226"/>
      <c r="B195" s="1272"/>
      <c r="C195" s="1261"/>
      <c r="D195" s="1261"/>
      <c r="E195" s="1261"/>
      <c r="F195" s="1262"/>
      <c r="G195" s="1266"/>
      <c r="H195" s="1266"/>
      <c r="I195" s="1266"/>
      <c r="J195" s="1372"/>
      <c r="K195" s="1266"/>
      <c r="L195" s="1451"/>
      <c r="M195" s="1453"/>
      <c r="N195" s="1370" t="str">
        <f>IF('別紙様式2-2（４・５月分）'!Q150="","",'別紙様式2-2（４・５月分）'!Q150)</f>
        <v/>
      </c>
      <c r="O195" s="1367"/>
      <c r="P195" s="1383"/>
      <c r="Q195" s="1384"/>
      <c r="R195" s="1385"/>
      <c r="S195" s="1393"/>
      <c r="T195" s="1414"/>
      <c r="U195" s="1563"/>
      <c r="V195" s="1458"/>
      <c r="W195" s="1351"/>
      <c r="X195" s="1535"/>
      <c r="Y195" s="1355"/>
      <c r="Z195" s="1535"/>
      <c r="AA195" s="1355"/>
      <c r="AB195" s="1535"/>
      <c r="AC195" s="1355"/>
      <c r="AD195" s="1535"/>
      <c r="AE195" s="1355"/>
      <c r="AF195" s="1355"/>
      <c r="AG195" s="1355"/>
      <c r="AH195" s="1361"/>
      <c r="AI195" s="1482"/>
      <c r="AJ195" s="1543"/>
      <c r="AK195" s="1539"/>
      <c r="AL195" s="1541"/>
      <c r="AM195" s="1572"/>
      <c r="AN195" s="1574"/>
      <c r="AO195" s="1404"/>
      <c r="AP195" s="1533"/>
      <c r="AQ195" s="1404"/>
      <c r="AR195" s="1584"/>
      <c r="AS195" s="1537"/>
      <c r="AT195" s="1532" t="str">
        <f t="shared" ref="AT195" si="218">IF(AV196="","",IF(OR(AB196="",AB196&lt;&gt;7,AD196="",AD196&lt;&gt;3),"！算定期間の終わりが令和７年３月になっていません。年度内の廃止予定等がなければ、算定対象月を令和７年３月にしてください。",""))</f>
        <v/>
      </c>
      <c r="AU195" s="674"/>
      <c r="AV195" s="1493"/>
      <c r="AW195" s="1518" t="str">
        <f>IF('別紙様式2-2（４・５月分）'!O150="","",'別紙様式2-2（４・５月分）'!O150)</f>
        <v/>
      </c>
      <c r="AX195" s="1507"/>
      <c r="AY195" s="1589"/>
      <c r="AZ195" s="521"/>
      <c r="BE195" s="428"/>
      <c r="BF195" s="1493" t="str">
        <f>G194</f>
        <v/>
      </c>
      <c r="BG195" s="1493"/>
      <c r="BH195" s="1493"/>
    </row>
    <row r="196" spans="1:60" ht="15" customHeight="1">
      <c r="A196" s="1240"/>
      <c r="B196" s="1272"/>
      <c r="C196" s="1261"/>
      <c r="D196" s="1261"/>
      <c r="E196" s="1261"/>
      <c r="F196" s="1262"/>
      <c r="G196" s="1266"/>
      <c r="H196" s="1266"/>
      <c r="I196" s="1266"/>
      <c r="J196" s="1372"/>
      <c r="K196" s="1266"/>
      <c r="L196" s="1451"/>
      <c r="M196" s="1453"/>
      <c r="N196" s="1371"/>
      <c r="O196" s="1368"/>
      <c r="P196" s="1390" t="s">
        <v>2179</v>
      </c>
      <c r="Q196" s="1504" t="str">
        <f>IFERROR(VLOOKUP('別紙様式2-2（４・５月分）'!AR149,【参考】数式用!$AT$5:$AV$22,3,FALSE),"")</f>
        <v/>
      </c>
      <c r="R196" s="1388" t="s">
        <v>2190</v>
      </c>
      <c r="S196" s="1394" t="str">
        <f>IFERROR(VLOOKUP(K194,【参考】数式用!$A$5:$AB$27,MATCH(Q196,【参考】数式用!$B$4:$AB$4,0)+1,0),"")</f>
        <v/>
      </c>
      <c r="T196" s="1459" t="s">
        <v>2267</v>
      </c>
      <c r="U196" s="1569"/>
      <c r="V196" s="1463" t="str">
        <f>IFERROR(VLOOKUP(K194,【参考】数式用!$A$5:$AB$27,MATCH(U196,【参考】数式用!$B$4:$AB$4,0)+1,0),"")</f>
        <v/>
      </c>
      <c r="W196" s="1465" t="s">
        <v>19</v>
      </c>
      <c r="X196" s="1564"/>
      <c r="Y196" s="1407" t="s">
        <v>10</v>
      </c>
      <c r="Z196" s="1564"/>
      <c r="AA196" s="1407" t="s">
        <v>45</v>
      </c>
      <c r="AB196" s="1564"/>
      <c r="AC196" s="1407" t="s">
        <v>10</v>
      </c>
      <c r="AD196" s="1564"/>
      <c r="AE196" s="1407" t="s">
        <v>2172</v>
      </c>
      <c r="AF196" s="1407" t="s">
        <v>24</v>
      </c>
      <c r="AG196" s="1407" t="str">
        <f>IF(X196&gt;=1,(AB196*12+AD196)-(X196*12+Z196)+1,"")</f>
        <v/>
      </c>
      <c r="AH196" s="1409" t="s">
        <v>38</v>
      </c>
      <c r="AI196" s="1411" t="str">
        <f t="shared" ref="AI196" si="219">IFERROR(ROUNDDOWN(ROUND(L194*V196,0)*M194,0)*AG196,"")</f>
        <v/>
      </c>
      <c r="AJ196" s="1577" t="str">
        <f>IFERROR(ROUNDDOWN(ROUND((L194*(V196-AX194)),0)*M194,0)*AG196,"")</f>
        <v/>
      </c>
      <c r="AK196" s="1494" t="str">
        <f>IFERROR(ROUNDDOWN(ROUNDDOWN(ROUND(L194*VLOOKUP(K194,【参考】数式用!$A$5:$AB$27,MATCH("新加算Ⅳ",【参考】数式用!$B$4:$AB$4,0)+1,0),0)*M194,0)*AG196*0.5,0),"")</f>
        <v/>
      </c>
      <c r="AL196" s="1579"/>
      <c r="AM196" s="1585" t="str">
        <f>IFERROR(IF('別紙様式2-2（４・５月分）'!Q151="ベア加算","", IF(OR(U196="新加算Ⅰ",U196="新加算Ⅱ",U196="新加算Ⅲ",U196="新加算Ⅳ"),ROUNDDOWN(ROUND(L194*VLOOKUP(K194,【参考】数式用!$A$5:$I$27,MATCH("ベア加算",【参考】数式用!$B$4:$I$4,0)+1,0),0)*M194,0)*AG196,"")),"")</f>
        <v/>
      </c>
      <c r="AN196" s="1548"/>
      <c r="AO196" s="1554"/>
      <c r="AP196" s="1552"/>
      <c r="AQ196" s="1554"/>
      <c r="AR196" s="1556"/>
      <c r="AS196" s="1558"/>
      <c r="AT196" s="1532"/>
      <c r="AU196" s="542"/>
      <c r="AV196" s="1493" t="str">
        <f t="shared" ref="AV196" si="220">IF(OR(AB194&lt;&gt;7,AD194&lt;&gt;3),"V列に色付け","")</f>
        <v/>
      </c>
      <c r="AW196" s="1518"/>
      <c r="AX196" s="1507"/>
      <c r="AY196" s="671"/>
      <c r="AZ196" s="1321" t="str">
        <f>IF(AM196&lt;&gt;"",IF(AN196="○","入力済","未入力"),"")</f>
        <v/>
      </c>
      <c r="BA196" s="1321"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321" t="str">
        <f>IF(OR(U196="新加算Ⅴ（７）",U196="新加算Ⅴ（９）",U196="新加算Ⅴ（10）",U196="新加算Ⅴ（12）",U196="新加算Ⅴ（13）",U196="新加算Ⅴ（14）"),IF(OR(AP196="○",AP196="令和６年度中に満たす"),"入力済","未入力"),"")</f>
        <v/>
      </c>
      <c r="BC196" s="1321" t="str">
        <f>IF(OR(U196="新加算Ⅰ",U196="新加算Ⅱ",U196="新加算Ⅲ",U196="新加算Ⅴ（１）",U196="新加算Ⅴ（３）",U196="新加算Ⅴ（８）"),IF(OR(AQ196="○",AQ196="令和６年度中に満たす"),"入力済","未入力"),"")</f>
        <v/>
      </c>
      <c r="BD196" s="1588"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493" t="str">
        <f>IF(OR(U196="新加算Ⅰ",U196="新加算Ⅴ（１）",U196="新加算Ⅴ（２）",U196="新加算Ⅴ（５）",U196="新加算Ⅴ（７）",U196="新加算Ⅴ（10）"),IF(AS196="","未入力","入力済"),"")</f>
        <v/>
      </c>
      <c r="BF196" s="1493" t="str">
        <f>G194</f>
        <v/>
      </c>
      <c r="BG196" s="1493"/>
      <c r="BH196" s="1493"/>
    </row>
    <row r="197" spans="1:60" ht="30" customHeight="1" thickBot="1">
      <c r="A197" s="1227"/>
      <c r="B197" s="1376"/>
      <c r="C197" s="1377"/>
      <c r="D197" s="1377"/>
      <c r="E197" s="1377"/>
      <c r="F197" s="1378"/>
      <c r="G197" s="1267"/>
      <c r="H197" s="1267"/>
      <c r="I197" s="1267"/>
      <c r="J197" s="1373"/>
      <c r="K197" s="1267"/>
      <c r="L197" s="1452"/>
      <c r="M197" s="1454"/>
      <c r="N197" s="650" t="str">
        <f>IF('別紙様式2-2（４・５月分）'!Q151="","",'別紙様式2-2（４・５月分）'!Q151)</f>
        <v/>
      </c>
      <c r="O197" s="1369"/>
      <c r="P197" s="1391"/>
      <c r="Q197" s="1505"/>
      <c r="R197" s="1389"/>
      <c r="S197" s="1395"/>
      <c r="T197" s="1460"/>
      <c r="U197" s="1570"/>
      <c r="V197" s="1464"/>
      <c r="W197" s="1466"/>
      <c r="X197" s="1565"/>
      <c r="Y197" s="1408"/>
      <c r="Z197" s="1565"/>
      <c r="AA197" s="1408"/>
      <c r="AB197" s="1565"/>
      <c r="AC197" s="1408"/>
      <c r="AD197" s="1565"/>
      <c r="AE197" s="1408"/>
      <c r="AF197" s="1408"/>
      <c r="AG197" s="1408"/>
      <c r="AH197" s="1410"/>
      <c r="AI197" s="1412"/>
      <c r="AJ197" s="1578"/>
      <c r="AK197" s="1495"/>
      <c r="AL197" s="1580"/>
      <c r="AM197" s="1586"/>
      <c r="AN197" s="1549"/>
      <c r="AO197" s="1555"/>
      <c r="AP197" s="1553"/>
      <c r="AQ197" s="1555"/>
      <c r="AR197" s="1557"/>
      <c r="AS197" s="1559"/>
      <c r="AT197" s="672" t="str">
        <f t="shared" ref="AT197" si="221">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42"/>
      <c r="AV197" s="1493"/>
      <c r="AW197" s="652" t="str">
        <f>IF('別紙様式2-2（４・５月分）'!O151="","",'別紙様式2-2（４・５月分）'!O151)</f>
        <v/>
      </c>
      <c r="AX197" s="1507"/>
      <c r="AY197" s="673"/>
      <c r="AZ197" s="1321" t="str">
        <f>IF(OR(U197="新加算Ⅰ",U197="新加算Ⅱ",U197="新加算Ⅲ",U197="新加算Ⅳ",U197="新加算Ⅴ（１）",U197="新加算Ⅴ（２）",U197="新加算Ⅴ（３）",U197="新加算ⅠⅤ（４）",U197="新加算Ⅴ（５）",U197="新加算Ⅴ（６）",U197="新加算Ⅴ（８）",U197="新加算Ⅴ（11）"),IF(AJ197="○","","未入力"),"")</f>
        <v/>
      </c>
      <c r="BA197" s="1321" t="str">
        <f>IF(OR(V197="新加算Ⅰ",V197="新加算Ⅱ",V197="新加算Ⅲ",V197="新加算Ⅳ",V197="新加算Ⅴ（１）",V197="新加算Ⅴ（２）",V197="新加算Ⅴ（３）",V197="新加算ⅠⅤ（４）",V197="新加算Ⅴ（５）",V197="新加算Ⅴ（６）",V197="新加算Ⅴ（８）",V197="新加算Ⅴ（11）"),IF(AK197="○","","未入力"),"")</f>
        <v/>
      </c>
      <c r="BB197" s="1321" t="str">
        <f>IF(OR(V197="新加算Ⅴ（７）",V197="新加算Ⅴ（９）",V197="新加算Ⅴ（10）",V197="新加算Ⅴ（12）",V197="新加算Ⅴ（13）",V197="新加算Ⅴ（14）"),IF(AL197="○","","未入力"),"")</f>
        <v/>
      </c>
      <c r="BC197" s="1321" t="str">
        <f>IF(OR(V197="新加算Ⅰ",V197="新加算Ⅱ",V197="新加算Ⅲ",V197="新加算Ⅴ（１）",V197="新加算Ⅴ（３）",V197="新加算Ⅴ（８）"),IF(AM197="○","","未入力"),"")</f>
        <v/>
      </c>
      <c r="BD197" s="1588"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493" t="str">
        <f>IF(AND(U197&lt;&gt;"（参考）令和７年度の移行予定",OR(V197="新加算Ⅰ",V197="新加算Ⅴ（１）",V197="新加算Ⅴ（２）",V197="新加算Ⅴ（５）",V197="新加算Ⅴ（７）",V197="新加算Ⅴ（10）")),IF(AO197="","未入力",IF(AO197="いずれも取得していない","要件を満たさない","")),"")</f>
        <v/>
      </c>
      <c r="BF197" s="1493" t="str">
        <f>G194</f>
        <v/>
      </c>
      <c r="BG197" s="1493"/>
      <c r="BH197" s="1493"/>
    </row>
    <row r="198" spans="1:60" ht="30" customHeight="1">
      <c r="A198" s="1225">
        <v>47</v>
      </c>
      <c r="B198" s="1271" t="str">
        <f>IF(基本情報入力シート!C100="","",基本情報入力シート!C100)</f>
        <v/>
      </c>
      <c r="C198" s="1259"/>
      <c r="D198" s="1259"/>
      <c r="E198" s="1259"/>
      <c r="F198" s="1260"/>
      <c r="G198" s="1265" t="str">
        <f>IF(基本情報入力シート!M100="","",基本情報入力シート!M100)</f>
        <v/>
      </c>
      <c r="H198" s="1265" t="str">
        <f>IF(基本情報入力シート!R100="","",基本情報入力シート!R100)</f>
        <v/>
      </c>
      <c r="I198" s="1265" t="str">
        <f>IF(基本情報入力シート!W100="","",基本情報入力シート!W100)</f>
        <v/>
      </c>
      <c r="J198" s="1379" t="str">
        <f>IF(基本情報入力シート!X100="","",基本情報入力シート!X100)</f>
        <v/>
      </c>
      <c r="K198" s="1265" t="str">
        <f>IF(基本情報入力シート!Y100="","",基本情報入力シート!Y100)</f>
        <v/>
      </c>
      <c r="L198" s="1450" t="str">
        <f>IF(基本情報入力シート!AB100="","",基本情報入力シート!AB100)</f>
        <v/>
      </c>
      <c r="M198" s="1447" t="str">
        <f>IF(基本情報入力シート!AC100="","",基本情報入力シート!AC100)</f>
        <v/>
      </c>
      <c r="N198" s="647" t="str">
        <f>IF('別紙様式2-2（４・５月分）'!Q152="","",'別紙様式2-2（４・５月分）'!Q152)</f>
        <v/>
      </c>
      <c r="O198" s="1366" t="str">
        <f>IF(SUM('別紙様式2-2（４・５月分）'!R152:R154)=0,"",SUM('別紙様式2-2（４・５月分）'!R152:R154))</f>
        <v/>
      </c>
      <c r="P198" s="1380" t="str">
        <f>IFERROR(VLOOKUP('別紙様式2-2（４・５月分）'!AR152,【参考】数式用!$AT$5:$AU$22,2,FALSE),"")</f>
        <v/>
      </c>
      <c r="Q198" s="1381"/>
      <c r="R198" s="1382"/>
      <c r="S198" s="1392" t="str">
        <f>IFERROR(VLOOKUP(K198,【参考】数式用!$A$5:$AB$27,MATCH(P198,【参考】数式用!$B$4:$AB$4,0)+1,0),"")</f>
        <v/>
      </c>
      <c r="T198" s="1413" t="s">
        <v>2258</v>
      </c>
      <c r="U198" s="1562" t="str">
        <f>IF('別紙様式2-3（６月以降分）'!U198="","",'別紙様式2-3（６月以降分）'!U198)</f>
        <v/>
      </c>
      <c r="V198" s="1457" t="str">
        <f>IFERROR(VLOOKUP(K198,【参考】数式用!$A$5:$AB$27,MATCH(U198,【参考】数式用!$B$4:$AB$4,0)+1,0),"")</f>
        <v/>
      </c>
      <c r="W198" s="1350" t="s">
        <v>19</v>
      </c>
      <c r="X198" s="1534">
        <f>'別紙様式2-3（６月以降分）'!X198</f>
        <v>6</v>
      </c>
      <c r="Y198" s="1354" t="s">
        <v>10</v>
      </c>
      <c r="Z198" s="1534">
        <f>'別紙様式2-3（６月以降分）'!Z198</f>
        <v>6</v>
      </c>
      <c r="AA198" s="1354" t="s">
        <v>45</v>
      </c>
      <c r="AB198" s="1534">
        <f>'別紙様式2-3（６月以降分）'!AB198</f>
        <v>7</v>
      </c>
      <c r="AC198" s="1354" t="s">
        <v>10</v>
      </c>
      <c r="AD198" s="1534">
        <f>'別紙様式2-3（６月以降分）'!AD198</f>
        <v>3</v>
      </c>
      <c r="AE198" s="1354" t="s">
        <v>2172</v>
      </c>
      <c r="AF198" s="1354" t="s">
        <v>24</v>
      </c>
      <c r="AG198" s="1354">
        <f>IF(X198&gt;=1,(AB198*12+AD198)-(X198*12+Z198)+1,"")</f>
        <v>10</v>
      </c>
      <c r="AH198" s="1360" t="s">
        <v>38</v>
      </c>
      <c r="AI198" s="1481" t="str">
        <f>'別紙様式2-3（６月以降分）'!AI198</f>
        <v/>
      </c>
      <c r="AJ198" s="1542" t="str">
        <f>'別紙様式2-3（６月以降分）'!AJ198</f>
        <v/>
      </c>
      <c r="AK198" s="1538">
        <f>'別紙様式2-3（６月以降分）'!AK198</f>
        <v>0</v>
      </c>
      <c r="AL198" s="1540" t="str">
        <f>IF('別紙様式2-3（６月以降分）'!AL198="","",'別紙様式2-3（６月以降分）'!AL198)</f>
        <v/>
      </c>
      <c r="AM198" s="1571">
        <f>'別紙様式2-3（６月以降分）'!AM198</f>
        <v>0</v>
      </c>
      <c r="AN198" s="1573" t="str">
        <f>IF('別紙様式2-3（６月以降分）'!AN198="","",'別紙様式2-3（６月以降分）'!AN198)</f>
        <v/>
      </c>
      <c r="AO198" s="1403" t="str">
        <f>IF('別紙様式2-3（６月以降分）'!AO198="","",'別紙様式2-3（６月以降分）'!AO198)</f>
        <v/>
      </c>
      <c r="AP198" s="1502" t="str">
        <f>IF('別紙様式2-3（６月以降分）'!AP198="","",'別紙様式2-3（６月以降分）'!AP198)</f>
        <v/>
      </c>
      <c r="AQ198" s="1403" t="str">
        <f>IF('別紙様式2-3（６月以降分）'!AQ198="","",'別紙様式2-3（６月以降分）'!AQ198)</f>
        <v/>
      </c>
      <c r="AR198" s="1583" t="str">
        <f>IF('別紙様式2-3（６月以降分）'!AR198="","",'別紙様式2-3（６月以降分）'!AR198)</f>
        <v/>
      </c>
      <c r="AS198" s="1536" t="str">
        <f>IF('別紙様式2-3（６月以降分）'!AS198="","",'別紙様式2-3（６月以降分）'!AS198)</f>
        <v/>
      </c>
      <c r="AT198" s="667" t="str">
        <f t="shared" ref="AT198" si="222">IF(AV200="","",IF(V200&lt;V198,"！加算の要件上は問題ありませんが、令和６年度当初の新加算の加算率と比較して、移行後の加算率が下がる計画になっています。",""))</f>
        <v/>
      </c>
      <c r="AU198" s="674"/>
      <c r="AV198" s="1233"/>
      <c r="AW198" s="652" t="str">
        <f>IF('別紙様式2-2（４・５月分）'!O152="","",'別紙様式2-2（４・５月分）'!O152)</f>
        <v/>
      </c>
      <c r="AX198" s="1507" t="str">
        <f>IF(SUM('別紙様式2-2（４・５月分）'!P152:P154)=0,"",SUM('別紙様式2-2（４・５月分）'!P152:P154))</f>
        <v/>
      </c>
      <c r="AY198" s="1590" t="str">
        <f>IFERROR(VLOOKUP(K198,【参考】数式用!$AJ$2:$AK$24,2,FALSE),"")</f>
        <v/>
      </c>
      <c r="AZ198" s="584"/>
      <c r="BE198" s="428"/>
      <c r="BF198" s="1493" t="str">
        <f>G198</f>
        <v/>
      </c>
      <c r="BG198" s="1493"/>
      <c r="BH198" s="1493"/>
    </row>
    <row r="199" spans="1:60" ht="15" customHeight="1">
      <c r="A199" s="1226"/>
      <c r="B199" s="1272"/>
      <c r="C199" s="1261"/>
      <c r="D199" s="1261"/>
      <c r="E199" s="1261"/>
      <c r="F199" s="1262"/>
      <c r="G199" s="1266"/>
      <c r="H199" s="1266"/>
      <c r="I199" s="1266"/>
      <c r="J199" s="1372"/>
      <c r="K199" s="1266"/>
      <c r="L199" s="1451"/>
      <c r="M199" s="1448"/>
      <c r="N199" s="1370" t="str">
        <f>IF('別紙様式2-2（４・５月分）'!Q153="","",'別紙様式2-2（４・５月分）'!Q153)</f>
        <v/>
      </c>
      <c r="O199" s="1367"/>
      <c r="P199" s="1383"/>
      <c r="Q199" s="1384"/>
      <c r="R199" s="1385"/>
      <c r="S199" s="1393"/>
      <c r="T199" s="1414"/>
      <c r="U199" s="1563"/>
      <c r="V199" s="1458"/>
      <c r="W199" s="1351"/>
      <c r="X199" s="1535"/>
      <c r="Y199" s="1355"/>
      <c r="Z199" s="1535"/>
      <c r="AA199" s="1355"/>
      <c r="AB199" s="1535"/>
      <c r="AC199" s="1355"/>
      <c r="AD199" s="1535"/>
      <c r="AE199" s="1355"/>
      <c r="AF199" s="1355"/>
      <c r="AG199" s="1355"/>
      <c r="AH199" s="1361"/>
      <c r="AI199" s="1482"/>
      <c r="AJ199" s="1543"/>
      <c r="AK199" s="1539"/>
      <c r="AL199" s="1541"/>
      <c r="AM199" s="1572"/>
      <c r="AN199" s="1574"/>
      <c r="AO199" s="1404"/>
      <c r="AP199" s="1533"/>
      <c r="AQ199" s="1404"/>
      <c r="AR199" s="1584"/>
      <c r="AS199" s="1537"/>
      <c r="AT199" s="1532" t="str">
        <f t="shared" ref="AT199" si="223">IF(AV200="","",IF(OR(AB200="",AB200&lt;&gt;7,AD200="",AD200&lt;&gt;3),"！算定期間の終わりが令和７年３月になっていません。年度内の廃止予定等がなければ、算定対象月を令和７年３月にしてください。",""))</f>
        <v/>
      </c>
      <c r="AU199" s="674"/>
      <c r="AV199" s="1493"/>
      <c r="AW199" s="1518" t="str">
        <f>IF('別紙様式2-2（４・５月分）'!O153="","",'別紙様式2-2（４・５月分）'!O153)</f>
        <v/>
      </c>
      <c r="AX199" s="1507"/>
      <c r="AY199" s="1589"/>
      <c r="AZ199" s="521"/>
      <c r="BE199" s="428"/>
      <c r="BF199" s="1493" t="str">
        <f>G198</f>
        <v/>
      </c>
      <c r="BG199" s="1493"/>
      <c r="BH199" s="1493"/>
    </row>
    <row r="200" spans="1:60" ht="15" customHeight="1">
      <c r="A200" s="1240"/>
      <c r="B200" s="1272"/>
      <c r="C200" s="1261"/>
      <c r="D200" s="1261"/>
      <c r="E200" s="1261"/>
      <c r="F200" s="1262"/>
      <c r="G200" s="1266"/>
      <c r="H200" s="1266"/>
      <c r="I200" s="1266"/>
      <c r="J200" s="1372"/>
      <c r="K200" s="1266"/>
      <c r="L200" s="1451"/>
      <c r="M200" s="1448"/>
      <c r="N200" s="1371"/>
      <c r="O200" s="1368"/>
      <c r="P200" s="1390" t="s">
        <v>2179</v>
      </c>
      <c r="Q200" s="1504" t="str">
        <f>IFERROR(VLOOKUP('別紙様式2-2（４・５月分）'!AR152,【参考】数式用!$AT$5:$AV$22,3,FALSE),"")</f>
        <v/>
      </c>
      <c r="R200" s="1388" t="s">
        <v>2190</v>
      </c>
      <c r="S200" s="1396" t="str">
        <f>IFERROR(VLOOKUP(K198,【参考】数式用!$A$5:$AB$27,MATCH(Q200,【参考】数式用!$B$4:$AB$4,0)+1,0),"")</f>
        <v/>
      </c>
      <c r="T200" s="1459" t="s">
        <v>2267</v>
      </c>
      <c r="U200" s="1569"/>
      <c r="V200" s="1463" t="str">
        <f>IFERROR(VLOOKUP(K198,【参考】数式用!$A$5:$AB$27,MATCH(U200,【参考】数式用!$B$4:$AB$4,0)+1,0),"")</f>
        <v/>
      </c>
      <c r="W200" s="1465" t="s">
        <v>19</v>
      </c>
      <c r="X200" s="1564"/>
      <c r="Y200" s="1407" t="s">
        <v>10</v>
      </c>
      <c r="Z200" s="1564"/>
      <c r="AA200" s="1407" t="s">
        <v>45</v>
      </c>
      <c r="AB200" s="1564"/>
      <c r="AC200" s="1407" t="s">
        <v>10</v>
      </c>
      <c r="AD200" s="1564"/>
      <c r="AE200" s="1407" t="s">
        <v>2172</v>
      </c>
      <c r="AF200" s="1407" t="s">
        <v>24</v>
      </c>
      <c r="AG200" s="1407" t="str">
        <f>IF(X200&gt;=1,(AB200*12+AD200)-(X200*12+Z200)+1,"")</f>
        <v/>
      </c>
      <c r="AH200" s="1409" t="s">
        <v>38</v>
      </c>
      <c r="AI200" s="1411" t="str">
        <f t="shared" ref="AI200" si="224">IFERROR(ROUNDDOWN(ROUND(L198*V200,0)*M198,0)*AG200,"")</f>
        <v/>
      </c>
      <c r="AJ200" s="1577" t="str">
        <f>IFERROR(ROUNDDOWN(ROUND((L198*(V200-AX198)),0)*M198,0)*AG200,"")</f>
        <v/>
      </c>
      <c r="AK200" s="1494" t="str">
        <f>IFERROR(ROUNDDOWN(ROUNDDOWN(ROUND(L198*VLOOKUP(K198,【参考】数式用!$A$5:$AB$27,MATCH("新加算Ⅳ",【参考】数式用!$B$4:$AB$4,0)+1,0),0)*M198,0)*AG200*0.5,0),"")</f>
        <v/>
      </c>
      <c r="AL200" s="1579"/>
      <c r="AM200" s="1585" t="str">
        <f>IFERROR(IF('別紙様式2-2（４・５月分）'!Q154="ベア加算","", IF(OR(U200="新加算Ⅰ",U200="新加算Ⅱ",U200="新加算Ⅲ",U200="新加算Ⅳ"),ROUNDDOWN(ROUND(L198*VLOOKUP(K198,【参考】数式用!$A$5:$I$27,MATCH("ベア加算",【参考】数式用!$B$4:$I$4,0)+1,0),0)*M198,0)*AG200,"")),"")</f>
        <v/>
      </c>
      <c r="AN200" s="1548"/>
      <c r="AO200" s="1554"/>
      <c r="AP200" s="1552"/>
      <c r="AQ200" s="1554"/>
      <c r="AR200" s="1556"/>
      <c r="AS200" s="1558"/>
      <c r="AT200" s="1532"/>
      <c r="AU200" s="542"/>
      <c r="AV200" s="1493" t="str">
        <f t="shared" ref="AV200" si="225">IF(OR(AB198&lt;&gt;7,AD198&lt;&gt;3),"V列に色付け","")</f>
        <v/>
      </c>
      <c r="AW200" s="1518"/>
      <c r="AX200" s="1507"/>
      <c r="AY200" s="671"/>
      <c r="AZ200" s="1321" t="str">
        <f>IF(AM200&lt;&gt;"",IF(AN200="○","入力済","未入力"),"")</f>
        <v/>
      </c>
      <c r="BA200" s="1321"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321" t="str">
        <f>IF(OR(U200="新加算Ⅴ（７）",U200="新加算Ⅴ（９）",U200="新加算Ⅴ（10）",U200="新加算Ⅴ（12）",U200="新加算Ⅴ（13）",U200="新加算Ⅴ（14）"),IF(OR(AP200="○",AP200="令和６年度中に満たす"),"入力済","未入力"),"")</f>
        <v/>
      </c>
      <c r="BC200" s="1321" t="str">
        <f>IF(OR(U200="新加算Ⅰ",U200="新加算Ⅱ",U200="新加算Ⅲ",U200="新加算Ⅴ（１）",U200="新加算Ⅴ（３）",U200="新加算Ⅴ（８）"),IF(OR(AQ200="○",AQ200="令和６年度中に満たす"),"入力済","未入力"),"")</f>
        <v/>
      </c>
      <c r="BD200" s="1588"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493" t="str">
        <f>IF(OR(U200="新加算Ⅰ",U200="新加算Ⅴ（１）",U200="新加算Ⅴ（２）",U200="新加算Ⅴ（５）",U200="新加算Ⅴ（７）",U200="新加算Ⅴ（10）"),IF(AS200="","未入力","入力済"),"")</f>
        <v/>
      </c>
      <c r="BF200" s="1493" t="str">
        <f>G198</f>
        <v/>
      </c>
      <c r="BG200" s="1493"/>
      <c r="BH200" s="1493"/>
    </row>
    <row r="201" spans="1:60" ht="30" customHeight="1" thickBot="1">
      <c r="A201" s="1227"/>
      <c r="B201" s="1376"/>
      <c r="C201" s="1377"/>
      <c r="D201" s="1377"/>
      <c r="E201" s="1377"/>
      <c r="F201" s="1378"/>
      <c r="G201" s="1267"/>
      <c r="H201" s="1267"/>
      <c r="I201" s="1267"/>
      <c r="J201" s="1373"/>
      <c r="K201" s="1267"/>
      <c r="L201" s="1452"/>
      <c r="M201" s="1449"/>
      <c r="N201" s="650" t="str">
        <f>IF('別紙様式2-2（４・５月分）'!Q154="","",'別紙様式2-2（４・５月分）'!Q154)</f>
        <v/>
      </c>
      <c r="O201" s="1369"/>
      <c r="P201" s="1391"/>
      <c r="Q201" s="1505"/>
      <c r="R201" s="1389"/>
      <c r="S201" s="1395"/>
      <c r="T201" s="1460"/>
      <c r="U201" s="1570"/>
      <c r="V201" s="1464"/>
      <c r="W201" s="1466"/>
      <c r="X201" s="1565"/>
      <c r="Y201" s="1408"/>
      <c r="Z201" s="1565"/>
      <c r="AA201" s="1408"/>
      <c r="AB201" s="1565"/>
      <c r="AC201" s="1408"/>
      <c r="AD201" s="1565"/>
      <c r="AE201" s="1408"/>
      <c r="AF201" s="1408"/>
      <c r="AG201" s="1408"/>
      <c r="AH201" s="1410"/>
      <c r="AI201" s="1412"/>
      <c r="AJ201" s="1578"/>
      <c r="AK201" s="1495"/>
      <c r="AL201" s="1580"/>
      <c r="AM201" s="1586"/>
      <c r="AN201" s="1549"/>
      <c r="AO201" s="1555"/>
      <c r="AP201" s="1553"/>
      <c r="AQ201" s="1555"/>
      <c r="AR201" s="1557"/>
      <c r="AS201" s="1559"/>
      <c r="AT201" s="672" t="str">
        <f t="shared" ref="AT201" si="226">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42"/>
      <c r="AV201" s="1493"/>
      <c r="AW201" s="652" t="str">
        <f>IF('別紙様式2-2（４・５月分）'!O154="","",'別紙様式2-2（４・５月分）'!O154)</f>
        <v/>
      </c>
      <c r="AX201" s="1507"/>
      <c r="AY201" s="673"/>
      <c r="AZ201" s="1321" t="str">
        <f>IF(OR(U201="新加算Ⅰ",U201="新加算Ⅱ",U201="新加算Ⅲ",U201="新加算Ⅳ",U201="新加算Ⅴ（１）",U201="新加算Ⅴ（２）",U201="新加算Ⅴ（３）",U201="新加算ⅠⅤ（４）",U201="新加算Ⅴ（５）",U201="新加算Ⅴ（６）",U201="新加算Ⅴ（８）",U201="新加算Ⅴ（11）"),IF(AJ201="○","","未入力"),"")</f>
        <v/>
      </c>
      <c r="BA201" s="1321" t="str">
        <f>IF(OR(V201="新加算Ⅰ",V201="新加算Ⅱ",V201="新加算Ⅲ",V201="新加算Ⅳ",V201="新加算Ⅴ（１）",V201="新加算Ⅴ（２）",V201="新加算Ⅴ（３）",V201="新加算ⅠⅤ（４）",V201="新加算Ⅴ（５）",V201="新加算Ⅴ（６）",V201="新加算Ⅴ（８）",V201="新加算Ⅴ（11）"),IF(AK201="○","","未入力"),"")</f>
        <v/>
      </c>
      <c r="BB201" s="1321" t="str">
        <f>IF(OR(V201="新加算Ⅴ（７）",V201="新加算Ⅴ（９）",V201="新加算Ⅴ（10）",V201="新加算Ⅴ（12）",V201="新加算Ⅴ（13）",V201="新加算Ⅴ（14）"),IF(AL201="○","","未入力"),"")</f>
        <v/>
      </c>
      <c r="BC201" s="1321" t="str">
        <f>IF(OR(V201="新加算Ⅰ",V201="新加算Ⅱ",V201="新加算Ⅲ",V201="新加算Ⅴ（１）",V201="新加算Ⅴ（３）",V201="新加算Ⅴ（８）"),IF(AM201="○","","未入力"),"")</f>
        <v/>
      </c>
      <c r="BD201" s="1588"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493" t="str">
        <f>IF(AND(U201&lt;&gt;"（参考）令和７年度の移行予定",OR(V201="新加算Ⅰ",V201="新加算Ⅴ（１）",V201="新加算Ⅴ（２）",V201="新加算Ⅴ（５）",V201="新加算Ⅴ（７）",V201="新加算Ⅴ（10）")),IF(AO201="","未入力",IF(AO201="いずれも取得していない","要件を満たさない","")),"")</f>
        <v/>
      </c>
      <c r="BF201" s="1493" t="str">
        <f>G198</f>
        <v/>
      </c>
      <c r="BG201" s="1493"/>
      <c r="BH201" s="1493"/>
    </row>
    <row r="202" spans="1:60" ht="30" customHeight="1">
      <c r="A202" s="1241">
        <v>48</v>
      </c>
      <c r="B202" s="1272" t="str">
        <f>IF(基本情報入力シート!C101="","",基本情報入力シート!C101)</f>
        <v/>
      </c>
      <c r="C202" s="1261"/>
      <c r="D202" s="1261"/>
      <c r="E202" s="1261"/>
      <c r="F202" s="1262"/>
      <c r="G202" s="1266" t="str">
        <f>IF(基本情報入力シート!M101="","",基本情報入力シート!M101)</f>
        <v/>
      </c>
      <c r="H202" s="1266" t="str">
        <f>IF(基本情報入力シート!R101="","",基本情報入力シート!R101)</f>
        <v/>
      </c>
      <c r="I202" s="1266" t="str">
        <f>IF(基本情報入力シート!W101="","",基本情報入力シート!W101)</f>
        <v/>
      </c>
      <c r="J202" s="1372" t="str">
        <f>IF(基本情報入力シート!X101="","",基本情報入力シート!X101)</f>
        <v/>
      </c>
      <c r="K202" s="1266" t="str">
        <f>IF(基本情報入力シート!Y101="","",基本情報入力シート!Y101)</f>
        <v/>
      </c>
      <c r="L202" s="1451" t="str">
        <f>IF(基本情報入力シート!AB101="","",基本情報入力シート!AB101)</f>
        <v/>
      </c>
      <c r="M202" s="1453" t="str">
        <f>IF(基本情報入力シート!AC101="","",基本情報入力シート!AC101)</f>
        <v/>
      </c>
      <c r="N202" s="647" t="str">
        <f>IF('別紙様式2-2（４・５月分）'!Q155="","",'別紙様式2-2（４・５月分）'!Q155)</f>
        <v/>
      </c>
      <c r="O202" s="1366" t="str">
        <f>IF(SUM('別紙様式2-2（４・５月分）'!R155:R157)=0,"",SUM('別紙様式2-2（４・５月分）'!R155:R157))</f>
        <v/>
      </c>
      <c r="P202" s="1380" t="str">
        <f>IFERROR(VLOOKUP('別紙様式2-2（４・５月分）'!AR155,【参考】数式用!$AT$5:$AU$22,2,FALSE),"")</f>
        <v/>
      </c>
      <c r="Q202" s="1381"/>
      <c r="R202" s="1382"/>
      <c r="S202" s="1392" t="str">
        <f>IFERROR(VLOOKUP(K202,【参考】数式用!$A$5:$AB$27,MATCH(P202,【参考】数式用!$B$4:$AB$4,0)+1,0),"")</f>
        <v/>
      </c>
      <c r="T202" s="1413" t="s">
        <v>2258</v>
      </c>
      <c r="U202" s="1562" t="str">
        <f>IF('別紙様式2-3（６月以降分）'!U202="","",'別紙様式2-3（６月以降分）'!U202)</f>
        <v/>
      </c>
      <c r="V202" s="1457" t="str">
        <f>IFERROR(VLOOKUP(K202,【参考】数式用!$A$5:$AB$27,MATCH(U202,【参考】数式用!$B$4:$AB$4,0)+1,0),"")</f>
        <v/>
      </c>
      <c r="W202" s="1350" t="s">
        <v>19</v>
      </c>
      <c r="X202" s="1534">
        <f>'別紙様式2-3（６月以降分）'!X202</f>
        <v>6</v>
      </c>
      <c r="Y202" s="1354" t="s">
        <v>10</v>
      </c>
      <c r="Z202" s="1534">
        <f>'別紙様式2-3（６月以降分）'!Z202</f>
        <v>6</v>
      </c>
      <c r="AA202" s="1354" t="s">
        <v>45</v>
      </c>
      <c r="AB202" s="1534">
        <f>'別紙様式2-3（６月以降分）'!AB202</f>
        <v>7</v>
      </c>
      <c r="AC202" s="1354" t="s">
        <v>10</v>
      </c>
      <c r="AD202" s="1534">
        <f>'別紙様式2-3（６月以降分）'!AD202</f>
        <v>3</v>
      </c>
      <c r="AE202" s="1354" t="s">
        <v>2172</v>
      </c>
      <c r="AF202" s="1354" t="s">
        <v>24</v>
      </c>
      <c r="AG202" s="1354">
        <f>IF(X202&gt;=1,(AB202*12+AD202)-(X202*12+Z202)+1,"")</f>
        <v>10</v>
      </c>
      <c r="AH202" s="1360" t="s">
        <v>38</v>
      </c>
      <c r="AI202" s="1481" t="str">
        <f>'別紙様式2-3（６月以降分）'!AI202</f>
        <v/>
      </c>
      <c r="AJ202" s="1542" t="str">
        <f>'別紙様式2-3（６月以降分）'!AJ202</f>
        <v/>
      </c>
      <c r="AK202" s="1538">
        <f>'別紙様式2-3（６月以降分）'!AK202</f>
        <v>0</v>
      </c>
      <c r="AL202" s="1540" t="str">
        <f>IF('別紙様式2-3（６月以降分）'!AL202="","",'別紙様式2-3（６月以降分）'!AL202)</f>
        <v/>
      </c>
      <c r="AM202" s="1571">
        <f>'別紙様式2-3（６月以降分）'!AM202</f>
        <v>0</v>
      </c>
      <c r="AN202" s="1573" t="str">
        <f>IF('別紙様式2-3（６月以降分）'!AN202="","",'別紙様式2-3（６月以降分）'!AN202)</f>
        <v/>
      </c>
      <c r="AO202" s="1403" t="str">
        <f>IF('別紙様式2-3（６月以降分）'!AO202="","",'別紙様式2-3（６月以降分）'!AO202)</f>
        <v/>
      </c>
      <c r="AP202" s="1502" t="str">
        <f>IF('別紙様式2-3（６月以降分）'!AP202="","",'別紙様式2-3（６月以降分）'!AP202)</f>
        <v/>
      </c>
      <c r="AQ202" s="1403" t="str">
        <f>IF('別紙様式2-3（６月以降分）'!AQ202="","",'別紙様式2-3（６月以降分）'!AQ202)</f>
        <v/>
      </c>
      <c r="AR202" s="1583" t="str">
        <f>IF('別紙様式2-3（６月以降分）'!AR202="","",'別紙様式2-3（６月以降分）'!AR202)</f>
        <v/>
      </c>
      <c r="AS202" s="1536" t="str">
        <f>IF('別紙様式2-3（６月以降分）'!AS202="","",'別紙様式2-3（６月以降分）'!AS202)</f>
        <v/>
      </c>
      <c r="AT202" s="667" t="str">
        <f t="shared" ref="AT202" si="227">IF(AV204="","",IF(V204&lt;V202,"！加算の要件上は問題ありませんが、令和６年度当初の新加算の加算率と比較して、移行後の加算率が下がる計画になっています。",""))</f>
        <v/>
      </c>
      <c r="AU202" s="674"/>
      <c r="AV202" s="1233"/>
      <c r="AW202" s="652" t="str">
        <f>IF('別紙様式2-2（４・５月分）'!O155="","",'別紙様式2-2（４・５月分）'!O155)</f>
        <v/>
      </c>
      <c r="AX202" s="1507" t="str">
        <f>IF(SUM('別紙様式2-2（４・５月分）'!P155:P157)=0,"",SUM('別紙様式2-2（４・５月分）'!P155:P157))</f>
        <v/>
      </c>
      <c r="AY202" s="1589" t="str">
        <f>IFERROR(VLOOKUP(K202,【参考】数式用!$AJ$2:$AK$24,2,FALSE),"")</f>
        <v/>
      </c>
      <c r="AZ202" s="584"/>
      <c r="BE202" s="428"/>
      <c r="BF202" s="1493" t="str">
        <f>G202</f>
        <v/>
      </c>
      <c r="BG202" s="1493"/>
      <c r="BH202" s="1493"/>
    </row>
    <row r="203" spans="1:60" ht="15" customHeight="1">
      <c r="A203" s="1226"/>
      <c r="B203" s="1272"/>
      <c r="C203" s="1261"/>
      <c r="D203" s="1261"/>
      <c r="E203" s="1261"/>
      <c r="F203" s="1262"/>
      <c r="G203" s="1266"/>
      <c r="H203" s="1266"/>
      <c r="I203" s="1266"/>
      <c r="J203" s="1372"/>
      <c r="K203" s="1266"/>
      <c r="L203" s="1451"/>
      <c r="M203" s="1453"/>
      <c r="N203" s="1370" t="str">
        <f>IF('別紙様式2-2（４・５月分）'!Q156="","",'別紙様式2-2（４・５月分）'!Q156)</f>
        <v/>
      </c>
      <c r="O203" s="1367"/>
      <c r="P203" s="1383"/>
      <c r="Q203" s="1384"/>
      <c r="R203" s="1385"/>
      <c r="S203" s="1393"/>
      <c r="T203" s="1414"/>
      <c r="U203" s="1563"/>
      <c r="V203" s="1458"/>
      <c r="W203" s="1351"/>
      <c r="X203" s="1535"/>
      <c r="Y203" s="1355"/>
      <c r="Z203" s="1535"/>
      <c r="AA203" s="1355"/>
      <c r="AB203" s="1535"/>
      <c r="AC203" s="1355"/>
      <c r="AD203" s="1535"/>
      <c r="AE203" s="1355"/>
      <c r="AF203" s="1355"/>
      <c r="AG203" s="1355"/>
      <c r="AH203" s="1361"/>
      <c r="AI203" s="1482"/>
      <c r="AJ203" s="1543"/>
      <c r="AK203" s="1539"/>
      <c r="AL203" s="1541"/>
      <c r="AM203" s="1572"/>
      <c r="AN203" s="1574"/>
      <c r="AO203" s="1404"/>
      <c r="AP203" s="1533"/>
      <c r="AQ203" s="1404"/>
      <c r="AR203" s="1584"/>
      <c r="AS203" s="1537"/>
      <c r="AT203" s="1532" t="str">
        <f t="shared" ref="AT203" si="228">IF(AV204="","",IF(OR(AB204="",AB204&lt;&gt;7,AD204="",AD204&lt;&gt;3),"！算定期間の終わりが令和７年３月になっていません。年度内の廃止予定等がなければ、算定対象月を令和７年３月にしてください。",""))</f>
        <v/>
      </c>
      <c r="AU203" s="674"/>
      <c r="AV203" s="1493"/>
      <c r="AW203" s="1518" t="str">
        <f>IF('別紙様式2-2（４・５月分）'!O156="","",'別紙様式2-2（４・５月分）'!O156)</f>
        <v/>
      </c>
      <c r="AX203" s="1507"/>
      <c r="AY203" s="1589"/>
      <c r="AZ203" s="521"/>
      <c r="BE203" s="428"/>
      <c r="BF203" s="1493" t="str">
        <f>G202</f>
        <v/>
      </c>
      <c r="BG203" s="1493"/>
      <c r="BH203" s="1493"/>
    </row>
    <row r="204" spans="1:60" ht="15" customHeight="1">
      <c r="A204" s="1240"/>
      <c r="B204" s="1272"/>
      <c r="C204" s="1261"/>
      <c r="D204" s="1261"/>
      <c r="E204" s="1261"/>
      <c r="F204" s="1262"/>
      <c r="G204" s="1266"/>
      <c r="H204" s="1266"/>
      <c r="I204" s="1266"/>
      <c r="J204" s="1372"/>
      <c r="K204" s="1266"/>
      <c r="L204" s="1451"/>
      <c r="M204" s="1453"/>
      <c r="N204" s="1371"/>
      <c r="O204" s="1368"/>
      <c r="P204" s="1390" t="s">
        <v>2179</v>
      </c>
      <c r="Q204" s="1504" t="str">
        <f>IFERROR(VLOOKUP('別紙様式2-2（４・５月分）'!AR155,【参考】数式用!$AT$5:$AV$22,3,FALSE),"")</f>
        <v/>
      </c>
      <c r="R204" s="1388" t="s">
        <v>2190</v>
      </c>
      <c r="S204" s="1394" t="str">
        <f>IFERROR(VLOOKUP(K202,【参考】数式用!$A$5:$AB$27,MATCH(Q204,【参考】数式用!$B$4:$AB$4,0)+1,0),"")</f>
        <v/>
      </c>
      <c r="T204" s="1459" t="s">
        <v>2267</v>
      </c>
      <c r="U204" s="1569"/>
      <c r="V204" s="1463" t="str">
        <f>IFERROR(VLOOKUP(K202,【参考】数式用!$A$5:$AB$27,MATCH(U204,【参考】数式用!$B$4:$AB$4,0)+1,0),"")</f>
        <v/>
      </c>
      <c r="W204" s="1465" t="s">
        <v>19</v>
      </c>
      <c r="X204" s="1564"/>
      <c r="Y204" s="1407" t="s">
        <v>10</v>
      </c>
      <c r="Z204" s="1564"/>
      <c r="AA204" s="1407" t="s">
        <v>45</v>
      </c>
      <c r="AB204" s="1564"/>
      <c r="AC204" s="1407" t="s">
        <v>10</v>
      </c>
      <c r="AD204" s="1564"/>
      <c r="AE204" s="1407" t="s">
        <v>2172</v>
      </c>
      <c r="AF204" s="1407" t="s">
        <v>24</v>
      </c>
      <c r="AG204" s="1407" t="str">
        <f>IF(X204&gt;=1,(AB204*12+AD204)-(X204*12+Z204)+1,"")</f>
        <v/>
      </c>
      <c r="AH204" s="1409" t="s">
        <v>38</v>
      </c>
      <c r="AI204" s="1411" t="str">
        <f t="shared" ref="AI204" si="229">IFERROR(ROUNDDOWN(ROUND(L202*V204,0)*M202,0)*AG204,"")</f>
        <v/>
      </c>
      <c r="AJ204" s="1577" t="str">
        <f>IFERROR(ROUNDDOWN(ROUND((L202*(V204-AX202)),0)*M202,0)*AG204,"")</f>
        <v/>
      </c>
      <c r="AK204" s="1494" t="str">
        <f>IFERROR(ROUNDDOWN(ROUNDDOWN(ROUND(L202*VLOOKUP(K202,【参考】数式用!$A$5:$AB$27,MATCH("新加算Ⅳ",【参考】数式用!$B$4:$AB$4,0)+1,0),0)*M202,0)*AG204*0.5,0),"")</f>
        <v/>
      </c>
      <c r="AL204" s="1579"/>
      <c r="AM204" s="1585" t="str">
        <f>IFERROR(IF('別紙様式2-2（４・５月分）'!Q157="ベア加算","", IF(OR(U204="新加算Ⅰ",U204="新加算Ⅱ",U204="新加算Ⅲ",U204="新加算Ⅳ"),ROUNDDOWN(ROUND(L202*VLOOKUP(K202,【参考】数式用!$A$5:$I$27,MATCH("ベア加算",【参考】数式用!$B$4:$I$4,0)+1,0),0)*M202,0)*AG204,"")),"")</f>
        <v/>
      </c>
      <c r="AN204" s="1548"/>
      <c r="AO204" s="1554"/>
      <c r="AP204" s="1552"/>
      <c r="AQ204" s="1554"/>
      <c r="AR204" s="1556"/>
      <c r="AS204" s="1558"/>
      <c r="AT204" s="1532"/>
      <c r="AU204" s="542"/>
      <c r="AV204" s="1493" t="str">
        <f t="shared" ref="AV204" si="230">IF(OR(AB202&lt;&gt;7,AD202&lt;&gt;3),"V列に色付け","")</f>
        <v/>
      </c>
      <c r="AW204" s="1518"/>
      <c r="AX204" s="1507"/>
      <c r="AY204" s="671"/>
      <c r="AZ204" s="1321" t="str">
        <f>IF(AM204&lt;&gt;"",IF(AN204="○","入力済","未入力"),"")</f>
        <v/>
      </c>
      <c r="BA204" s="1321"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321" t="str">
        <f>IF(OR(U204="新加算Ⅴ（７）",U204="新加算Ⅴ（９）",U204="新加算Ⅴ（10）",U204="新加算Ⅴ（12）",U204="新加算Ⅴ（13）",U204="新加算Ⅴ（14）"),IF(OR(AP204="○",AP204="令和６年度中に満たす"),"入力済","未入力"),"")</f>
        <v/>
      </c>
      <c r="BC204" s="1321" t="str">
        <f>IF(OR(U204="新加算Ⅰ",U204="新加算Ⅱ",U204="新加算Ⅲ",U204="新加算Ⅴ（１）",U204="新加算Ⅴ（３）",U204="新加算Ⅴ（８）"),IF(OR(AQ204="○",AQ204="令和６年度中に満たす"),"入力済","未入力"),"")</f>
        <v/>
      </c>
      <c r="BD204" s="1588"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493" t="str">
        <f>IF(OR(U204="新加算Ⅰ",U204="新加算Ⅴ（１）",U204="新加算Ⅴ（２）",U204="新加算Ⅴ（５）",U204="新加算Ⅴ（７）",U204="新加算Ⅴ（10）"),IF(AS204="","未入力","入力済"),"")</f>
        <v/>
      </c>
      <c r="BF204" s="1493" t="str">
        <f>G202</f>
        <v/>
      </c>
      <c r="BG204" s="1493"/>
      <c r="BH204" s="1493"/>
    </row>
    <row r="205" spans="1:60" ht="30" customHeight="1" thickBot="1">
      <c r="A205" s="1227"/>
      <c r="B205" s="1376"/>
      <c r="C205" s="1377"/>
      <c r="D205" s="1377"/>
      <c r="E205" s="1377"/>
      <c r="F205" s="1378"/>
      <c r="G205" s="1267"/>
      <c r="H205" s="1267"/>
      <c r="I205" s="1267"/>
      <c r="J205" s="1373"/>
      <c r="K205" s="1267"/>
      <c r="L205" s="1452"/>
      <c r="M205" s="1454"/>
      <c r="N205" s="650" t="str">
        <f>IF('別紙様式2-2（４・５月分）'!Q157="","",'別紙様式2-2（４・５月分）'!Q157)</f>
        <v/>
      </c>
      <c r="O205" s="1369"/>
      <c r="P205" s="1391"/>
      <c r="Q205" s="1505"/>
      <c r="R205" s="1389"/>
      <c r="S205" s="1395"/>
      <c r="T205" s="1460"/>
      <c r="U205" s="1570"/>
      <c r="V205" s="1464"/>
      <c r="W205" s="1466"/>
      <c r="X205" s="1565"/>
      <c r="Y205" s="1408"/>
      <c r="Z205" s="1565"/>
      <c r="AA205" s="1408"/>
      <c r="AB205" s="1565"/>
      <c r="AC205" s="1408"/>
      <c r="AD205" s="1565"/>
      <c r="AE205" s="1408"/>
      <c r="AF205" s="1408"/>
      <c r="AG205" s="1408"/>
      <c r="AH205" s="1410"/>
      <c r="AI205" s="1412"/>
      <c r="AJ205" s="1578"/>
      <c r="AK205" s="1495"/>
      <c r="AL205" s="1580"/>
      <c r="AM205" s="1586"/>
      <c r="AN205" s="1549"/>
      <c r="AO205" s="1555"/>
      <c r="AP205" s="1553"/>
      <c r="AQ205" s="1555"/>
      <c r="AR205" s="1557"/>
      <c r="AS205" s="1559"/>
      <c r="AT205" s="672" t="str">
        <f t="shared" ref="AT205" si="231">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42"/>
      <c r="AV205" s="1493"/>
      <c r="AW205" s="652" t="str">
        <f>IF('別紙様式2-2（４・５月分）'!O157="","",'別紙様式2-2（４・５月分）'!O157)</f>
        <v/>
      </c>
      <c r="AX205" s="1507"/>
      <c r="AY205" s="673"/>
      <c r="AZ205" s="1321" t="str">
        <f>IF(OR(U205="新加算Ⅰ",U205="新加算Ⅱ",U205="新加算Ⅲ",U205="新加算Ⅳ",U205="新加算Ⅴ（１）",U205="新加算Ⅴ（２）",U205="新加算Ⅴ（３）",U205="新加算ⅠⅤ（４）",U205="新加算Ⅴ（５）",U205="新加算Ⅴ（６）",U205="新加算Ⅴ（８）",U205="新加算Ⅴ（11）"),IF(AJ205="○","","未入力"),"")</f>
        <v/>
      </c>
      <c r="BA205" s="1321" t="str">
        <f>IF(OR(V205="新加算Ⅰ",V205="新加算Ⅱ",V205="新加算Ⅲ",V205="新加算Ⅳ",V205="新加算Ⅴ（１）",V205="新加算Ⅴ（２）",V205="新加算Ⅴ（３）",V205="新加算ⅠⅤ（４）",V205="新加算Ⅴ（５）",V205="新加算Ⅴ（６）",V205="新加算Ⅴ（８）",V205="新加算Ⅴ（11）"),IF(AK205="○","","未入力"),"")</f>
        <v/>
      </c>
      <c r="BB205" s="1321" t="str">
        <f>IF(OR(V205="新加算Ⅴ（７）",V205="新加算Ⅴ（９）",V205="新加算Ⅴ（10）",V205="新加算Ⅴ（12）",V205="新加算Ⅴ（13）",V205="新加算Ⅴ（14）"),IF(AL205="○","","未入力"),"")</f>
        <v/>
      </c>
      <c r="BC205" s="1321" t="str">
        <f>IF(OR(V205="新加算Ⅰ",V205="新加算Ⅱ",V205="新加算Ⅲ",V205="新加算Ⅴ（１）",V205="新加算Ⅴ（３）",V205="新加算Ⅴ（８）"),IF(AM205="○","","未入力"),"")</f>
        <v/>
      </c>
      <c r="BD205" s="1588"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493" t="str">
        <f>IF(AND(U205&lt;&gt;"（参考）令和７年度の移行予定",OR(V205="新加算Ⅰ",V205="新加算Ⅴ（１）",V205="新加算Ⅴ（２）",V205="新加算Ⅴ（５）",V205="新加算Ⅴ（７）",V205="新加算Ⅴ（10）")),IF(AO205="","未入力",IF(AO205="いずれも取得していない","要件を満たさない","")),"")</f>
        <v/>
      </c>
      <c r="BF205" s="1493" t="str">
        <f>G202</f>
        <v/>
      </c>
      <c r="BG205" s="1493"/>
      <c r="BH205" s="1493"/>
    </row>
    <row r="206" spans="1:60" ht="30" customHeight="1">
      <c r="A206" s="1225">
        <v>49</v>
      </c>
      <c r="B206" s="1271" t="str">
        <f>IF(基本情報入力シート!C102="","",基本情報入力シート!C102)</f>
        <v/>
      </c>
      <c r="C206" s="1259"/>
      <c r="D206" s="1259"/>
      <c r="E206" s="1259"/>
      <c r="F206" s="1260"/>
      <c r="G206" s="1265" t="str">
        <f>IF(基本情報入力シート!M102="","",基本情報入力シート!M102)</f>
        <v/>
      </c>
      <c r="H206" s="1265" t="str">
        <f>IF(基本情報入力シート!R102="","",基本情報入力シート!R102)</f>
        <v/>
      </c>
      <c r="I206" s="1265" t="str">
        <f>IF(基本情報入力シート!W102="","",基本情報入力シート!W102)</f>
        <v/>
      </c>
      <c r="J206" s="1379" t="str">
        <f>IF(基本情報入力シート!X102="","",基本情報入力シート!X102)</f>
        <v/>
      </c>
      <c r="K206" s="1265" t="str">
        <f>IF(基本情報入力シート!Y102="","",基本情報入力シート!Y102)</f>
        <v/>
      </c>
      <c r="L206" s="1450" t="str">
        <f>IF(基本情報入力シート!AB102="","",基本情報入力シート!AB102)</f>
        <v/>
      </c>
      <c r="M206" s="1447" t="str">
        <f>IF(基本情報入力シート!AC102="","",基本情報入力シート!AC102)</f>
        <v/>
      </c>
      <c r="N206" s="647" t="str">
        <f>IF('別紙様式2-2（４・５月分）'!Q158="","",'別紙様式2-2（４・５月分）'!Q158)</f>
        <v/>
      </c>
      <c r="O206" s="1366" t="str">
        <f>IF(SUM('別紙様式2-2（４・５月分）'!R158:R160)=0,"",SUM('別紙様式2-2（４・５月分）'!R158:R160))</f>
        <v/>
      </c>
      <c r="P206" s="1380" t="str">
        <f>IFERROR(VLOOKUP('別紙様式2-2（４・５月分）'!AR158,【参考】数式用!$AT$5:$AU$22,2,FALSE),"")</f>
        <v/>
      </c>
      <c r="Q206" s="1381"/>
      <c r="R206" s="1382"/>
      <c r="S206" s="1392" t="str">
        <f>IFERROR(VLOOKUP(K206,【参考】数式用!$A$5:$AB$27,MATCH(P206,【参考】数式用!$B$4:$AB$4,0)+1,0),"")</f>
        <v/>
      </c>
      <c r="T206" s="1413" t="s">
        <v>2258</v>
      </c>
      <c r="U206" s="1562" t="str">
        <f>IF('別紙様式2-3（６月以降分）'!U206="","",'別紙様式2-3（６月以降分）'!U206)</f>
        <v/>
      </c>
      <c r="V206" s="1457" t="str">
        <f>IFERROR(VLOOKUP(K206,【参考】数式用!$A$5:$AB$27,MATCH(U206,【参考】数式用!$B$4:$AB$4,0)+1,0),"")</f>
        <v/>
      </c>
      <c r="W206" s="1350" t="s">
        <v>19</v>
      </c>
      <c r="X206" s="1534">
        <f>'別紙様式2-3（６月以降分）'!X206</f>
        <v>6</v>
      </c>
      <c r="Y206" s="1354" t="s">
        <v>10</v>
      </c>
      <c r="Z206" s="1534">
        <f>'別紙様式2-3（６月以降分）'!Z206</f>
        <v>6</v>
      </c>
      <c r="AA206" s="1354" t="s">
        <v>45</v>
      </c>
      <c r="AB206" s="1534">
        <f>'別紙様式2-3（６月以降分）'!AB206</f>
        <v>7</v>
      </c>
      <c r="AC206" s="1354" t="s">
        <v>10</v>
      </c>
      <c r="AD206" s="1534">
        <f>'別紙様式2-3（６月以降分）'!AD206</f>
        <v>3</v>
      </c>
      <c r="AE206" s="1354" t="s">
        <v>2172</v>
      </c>
      <c r="AF206" s="1354" t="s">
        <v>24</v>
      </c>
      <c r="AG206" s="1354">
        <f>IF(X206&gt;=1,(AB206*12+AD206)-(X206*12+Z206)+1,"")</f>
        <v>10</v>
      </c>
      <c r="AH206" s="1360" t="s">
        <v>38</v>
      </c>
      <c r="AI206" s="1481" t="str">
        <f>'別紙様式2-3（６月以降分）'!AI206</f>
        <v/>
      </c>
      <c r="AJ206" s="1542" t="str">
        <f>'別紙様式2-3（６月以降分）'!AJ206</f>
        <v/>
      </c>
      <c r="AK206" s="1538">
        <f>'別紙様式2-3（６月以降分）'!AK206</f>
        <v>0</v>
      </c>
      <c r="AL206" s="1540" t="str">
        <f>IF('別紙様式2-3（６月以降分）'!AL206="","",'別紙様式2-3（６月以降分）'!AL206)</f>
        <v/>
      </c>
      <c r="AM206" s="1571">
        <f>'別紙様式2-3（６月以降分）'!AM206</f>
        <v>0</v>
      </c>
      <c r="AN206" s="1573" t="str">
        <f>IF('別紙様式2-3（６月以降分）'!AN206="","",'別紙様式2-3（６月以降分）'!AN206)</f>
        <v/>
      </c>
      <c r="AO206" s="1403" t="str">
        <f>IF('別紙様式2-3（６月以降分）'!AO206="","",'別紙様式2-3（６月以降分）'!AO206)</f>
        <v/>
      </c>
      <c r="AP206" s="1502" t="str">
        <f>IF('別紙様式2-3（６月以降分）'!AP206="","",'別紙様式2-3（６月以降分）'!AP206)</f>
        <v/>
      </c>
      <c r="AQ206" s="1403" t="str">
        <f>IF('別紙様式2-3（６月以降分）'!AQ206="","",'別紙様式2-3（６月以降分）'!AQ206)</f>
        <v/>
      </c>
      <c r="AR206" s="1583" t="str">
        <f>IF('別紙様式2-3（６月以降分）'!AR206="","",'別紙様式2-3（６月以降分）'!AR206)</f>
        <v/>
      </c>
      <c r="AS206" s="1536" t="str">
        <f>IF('別紙様式2-3（６月以降分）'!AS206="","",'別紙様式2-3（６月以降分）'!AS206)</f>
        <v/>
      </c>
      <c r="AT206" s="667" t="str">
        <f t="shared" ref="AT206" si="232">IF(AV208="","",IF(V208&lt;V206,"！加算の要件上は問題ありませんが、令和６年度当初の新加算の加算率と比較して、移行後の加算率が下がる計画になっています。",""))</f>
        <v/>
      </c>
      <c r="AU206" s="674"/>
      <c r="AV206" s="1233"/>
      <c r="AW206" s="652" t="str">
        <f>IF('別紙様式2-2（４・５月分）'!O158="","",'別紙様式2-2（４・５月分）'!O158)</f>
        <v/>
      </c>
      <c r="AX206" s="1507" t="str">
        <f>IF(SUM('別紙様式2-2（４・５月分）'!P158:P160)=0,"",SUM('別紙様式2-2（４・５月分）'!P158:P160))</f>
        <v/>
      </c>
      <c r="AY206" s="1590" t="str">
        <f>IFERROR(VLOOKUP(K206,【参考】数式用!$AJ$2:$AK$24,2,FALSE),"")</f>
        <v/>
      </c>
      <c r="AZ206" s="584"/>
      <c r="BE206" s="428"/>
      <c r="BF206" s="1493" t="str">
        <f>G206</f>
        <v/>
      </c>
      <c r="BG206" s="1493"/>
      <c r="BH206" s="1493"/>
    </row>
    <row r="207" spans="1:60" ht="15" customHeight="1">
      <c r="A207" s="1226"/>
      <c r="B207" s="1272"/>
      <c r="C207" s="1261"/>
      <c r="D207" s="1261"/>
      <c r="E207" s="1261"/>
      <c r="F207" s="1262"/>
      <c r="G207" s="1266"/>
      <c r="H207" s="1266"/>
      <c r="I207" s="1266"/>
      <c r="J207" s="1372"/>
      <c r="K207" s="1266"/>
      <c r="L207" s="1451"/>
      <c r="M207" s="1448"/>
      <c r="N207" s="1370" t="str">
        <f>IF('別紙様式2-2（４・５月分）'!Q159="","",'別紙様式2-2（４・５月分）'!Q159)</f>
        <v/>
      </c>
      <c r="O207" s="1367"/>
      <c r="P207" s="1383"/>
      <c r="Q207" s="1384"/>
      <c r="R207" s="1385"/>
      <c r="S207" s="1393"/>
      <c r="T207" s="1414"/>
      <c r="U207" s="1563"/>
      <c r="V207" s="1458"/>
      <c r="W207" s="1351"/>
      <c r="X207" s="1535"/>
      <c r="Y207" s="1355"/>
      <c r="Z207" s="1535"/>
      <c r="AA207" s="1355"/>
      <c r="AB207" s="1535"/>
      <c r="AC207" s="1355"/>
      <c r="AD207" s="1535"/>
      <c r="AE207" s="1355"/>
      <c r="AF207" s="1355"/>
      <c r="AG207" s="1355"/>
      <c r="AH207" s="1361"/>
      <c r="AI207" s="1482"/>
      <c r="AJ207" s="1543"/>
      <c r="AK207" s="1539"/>
      <c r="AL207" s="1541"/>
      <c r="AM207" s="1572"/>
      <c r="AN207" s="1574"/>
      <c r="AO207" s="1404"/>
      <c r="AP207" s="1533"/>
      <c r="AQ207" s="1404"/>
      <c r="AR207" s="1584"/>
      <c r="AS207" s="1537"/>
      <c r="AT207" s="1532" t="str">
        <f t="shared" ref="AT207" si="233">IF(AV208="","",IF(OR(AB208="",AB208&lt;&gt;7,AD208="",AD208&lt;&gt;3),"！算定期間の終わりが令和７年３月になっていません。年度内の廃止予定等がなければ、算定対象月を令和７年３月にしてください。",""))</f>
        <v/>
      </c>
      <c r="AU207" s="674"/>
      <c r="AV207" s="1493"/>
      <c r="AW207" s="1518" t="str">
        <f>IF('別紙様式2-2（４・５月分）'!O159="","",'別紙様式2-2（４・５月分）'!O159)</f>
        <v/>
      </c>
      <c r="AX207" s="1507"/>
      <c r="AY207" s="1589"/>
      <c r="AZ207" s="521"/>
      <c r="BE207" s="428"/>
      <c r="BF207" s="1493" t="str">
        <f>G206</f>
        <v/>
      </c>
      <c r="BG207" s="1493"/>
      <c r="BH207" s="1493"/>
    </row>
    <row r="208" spans="1:60" ht="15" customHeight="1">
      <c r="A208" s="1240"/>
      <c r="B208" s="1272"/>
      <c r="C208" s="1261"/>
      <c r="D208" s="1261"/>
      <c r="E208" s="1261"/>
      <c r="F208" s="1262"/>
      <c r="G208" s="1266"/>
      <c r="H208" s="1266"/>
      <c r="I208" s="1266"/>
      <c r="J208" s="1372"/>
      <c r="K208" s="1266"/>
      <c r="L208" s="1451"/>
      <c r="M208" s="1448"/>
      <c r="N208" s="1371"/>
      <c r="O208" s="1368"/>
      <c r="P208" s="1390" t="s">
        <v>2179</v>
      </c>
      <c r="Q208" s="1504" t="str">
        <f>IFERROR(VLOOKUP('別紙様式2-2（４・５月分）'!AR158,【参考】数式用!$AT$5:$AV$22,3,FALSE),"")</f>
        <v/>
      </c>
      <c r="R208" s="1388" t="s">
        <v>2190</v>
      </c>
      <c r="S208" s="1396" t="str">
        <f>IFERROR(VLOOKUP(K206,【参考】数式用!$A$5:$AB$27,MATCH(Q208,【参考】数式用!$B$4:$AB$4,0)+1,0),"")</f>
        <v/>
      </c>
      <c r="T208" s="1459" t="s">
        <v>2267</v>
      </c>
      <c r="U208" s="1569"/>
      <c r="V208" s="1463" t="str">
        <f>IFERROR(VLOOKUP(K206,【参考】数式用!$A$5:$AB$27,MATCH(U208,【参考】数式用!$B$4:$AB$4,0)+1,0),"")</f>
        <v/>
      </c>
      <c r="W208" s="1465" t="s">
        <v>19</v>
      </c>
      <c r="X208" s="1564"/>
      <c r="Y208" s="1407" t="s">
        <v>10</v>
      </c>
      <c r="Z208" s="1564"/>
      <c r="AA208" s="1407" t="s">
        <v>45</v>
      </c>
      <c r="AB208" s="1564"/>
      <c r="AC208" s="1407" t="s">
        <v>10</v>
      </c>
      <c r="AD208" s="1564"/>
      <c r="AE208" s="1407" t="s">
        <v>2172</v>
      </c>
      <c r="AF208" s="1407" t="s">
        <v>24</v>
      </c>
      <c r="AG208" s="1407" t="str">
        <f>IF(X208&gt;=1,(AB208*12+AD208)-(X208*12+Z208)+1,"")</f>
        <v/>
      </c>
      <c r="AH208" s="1409" t="s">
        <v>38</v>
      </c>
      <c r="AI208" s="1411" t="str">
        <f t="shared" ref="AI208" si="234">IFERROR(ROUNDDOWN(ROUND(L206*V208,0)*M206,0)*AG208,"")</f>
        <v/>
      </c>
      <c r="AJ208" s="1577" t="str">
        <f>IFERROR(ROUNDDOWN(ROUND((L206*(V208-AX206)),0)*M206,0)*AG208,"")</f>
        <v/>
      </c>
      <c r="AK208" s="1494" t="str">
        <f>IFERROR(ROUNDDOWN(ROUNDDOWN(ROUND(L206*VLOOKUP(K206,【参考】数式用!$A$5:$AB$27,MATCH("新加算Ⅳ",【参考】数式用!$B$4:$AB$4,0)+1,0),0)*M206,0)*AG208*0.5,0),"")</f>
        <v/>
      </c>
      <c r="AL208" s="1579"/>
      <c r="AM208" s="1585" t="str">
        <f>IFERROR(IF('別紙様式2-2（４・５月分）'!Q160="ベア加算","", IF(OR(U208="新加算Ⅰ",U208="新加算Ⅱ",U208="新加算Ⅲ",U208="新加算Ⅳ"),ROUNDDOWN(ROUND(L206*VLOOKUP(K206,【参考】数式用!$A$5:$I$27,MATCH("ベア加算",【参考】数式用!$B$4:$I$4,0)+1,0),0)*M206,0)*AG208,"")),"")</f>
        <v/>
      </c>
      <c r="AN208" s="1548"/>
      <c r="AO208" s="1554"/>
      <c r="AP208" s="1552"/>
      <c r="AQ208" s="1554"/>
      <c r="AR208" s="1556"/>
      <c r="AS208" s="1558"/>
      <c r="AT208" s="1532"/>
      <c r="AU208" s="542"/>
      <c r="AV208" s="1493" t="str">
        <f t="shared" ref="AV208" si="235">IF(OR(AB206&lt;&gt;7,AD206&lt;&gt;3),"V列に色付け","")</f>
        <v/>
      </c>
      <c r="AW208" s="1518"/>
      <c r="AX208" s="1507"/>
      <c r="AY208" s="671"/>
      <c r="AZ208" s="1321" t="str">
        <f>IF(AM208&lt;&gt;"",IF(AN208="○","入力済","未入力"),"")</f>
        <v/>
      </c>
      <c r="BA208" s="1321"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321" t="str">
        <f>IF(OR(U208="新加算Ⅴ（７）",U208="新加算Ⅴ（９）",U208="新加算Ⅴ（10）",U208="新加算Ⅴ（12）",U208="新加算Ⅴ（13）",U208="新加算Ⅴ（14）"),IF(OR(AP208="○",AP208="令和６年度中に満たす"),"入力済","未入力"),"")</f>
        <v/>
      </c>
      <c r="BC208" s="1321" t="str">
        <f>IF(OR(U208="新加算Ⅰ",U208="新加算Ⅱ",U208="新加算Ⅲ",U208="新加算Ⅴ（１）",U208="新加算Ⅴ（３）",U208="新加算Ⅴ（８）"),IF(OR(AQ208="○",AQ208="令和６年度中に満たす"),"入力済","未入力"),"")</f>
        <v/>
      </c>
      <c r="BD208" s="1588"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493" t="str">
        <f>IF(OR(U208="新加算Ⅰ",U208="新加算Ⅴ（１）",U208="新加算Ⅴ（２）",U208="新加算Ⅴ（５）",U208="新加算Ⅴ（７）",U208="新加算Ⅴ（10）"),IF(AS208="","未入力","入力済"),"")</f>
        <v/>
      </c>
      <c r="BF208" s="1493" t="str">
        <f>G206</f>
        <v/>
      </c>
      <c r="BG208" s="1493"/>
      <c r="BH208" s="1493"/>
    </row>
    <row r="209" spans="1:60" ht="30" customHeight="1" thickBot="1">
      <c r="A209" s="1227"/>
      <c r="B209" s="1376"/>
      <c r="C209" s="1377"/>
      <c r="D209" s="1377"/>
      <c r="E209" s="1377"/>
      <c r="F209" s="1378"/>
      <c r="G209" s="1267"/>
      <c r="H209" s="1267"/>
      <c r="I209" s="1267"/>
      <c r="J209" s="1373"/>
      <c r="K209" s="1267"/>
      <c r="L209" s="1452"/>
      <c r="M209" s="1449"/>
      <c r="N209" s="650" t="str">
        <f>IF('別紙様式2-2（４・５月分）'!Q160="","",'別紙様式2-2（４・５月分）'!Q160)</f>
        <v/>
      </c>
      <c r="O209" s="1369"/>
      <c r="P209" s="1391"/>
      <c r="Q209" s="1505"/>
      <c r="R209" s="1389"/>
      <c r="S209" s="1395"/>
      <c r="T209" s="1460"/>
      <c r="U209" s="1570"/>
      <c r="V209" s="1464"/>
      <c r="W209" s="1466"/>
      <c r="X209" s="1565"/>
      <c r="Y209" s="1408"/>
      <c r="Z209" s="1565"/>
      <c r="AA209" s="1408"/>
      <c r="AB209" s="1565"/>
      <c r="AC209" s="1408"/>
      <c r="AD209" s="1565"/>
      <c r="AE209" s="1408"/>
      <c r="AF209" s="1408"/>
      <c r="AG209" s="1408"/>
      <c r="AH209" s="1410"/>
      <c r="AI209" s="1412"/>
      <c r="AJ209" s="1578"/>
      <c r="AK209" s="1495"/>
      <c r="AL209" s="1580"/>
      <c r="AM209" s="1586"/>
      <c r="AN209" s="1549"/>
      <c r="AO209" s="1555"/>
      <c r="AP209" s="1553"/>
      <c r="AQ209" s="1555"/>
      <c r="AR209" s="1557"/>
      <c r="AS209" s="1559"/>
      <c r="AT209" s="672" t="str">
        <f t="shared" ref="AT209" si="236">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42"/>
      <c r="AV209" s="1493"/>
      <c r="AW209" s="652" t="str">
        <f>IF('別紙様式2-2（４・５月分）'!O160="","",'別紙様式2-2（４・５月分）'!O160)</f>
        <v/>
      </c>
      <c r="AX209" s="1507"/>
      <c r="AY209" s="673"/>
      <c r="AZ209" s="1321" t="str">
        <f>IF(OR(U209="新加算Ⅰ",U209="新加算Ⅱ",U209="新加算Ⅲ",U209="新加算Ⅳ",U209="新加算Ⅴ（１）",U209="新加算Ⅴ（２）",U209="新加算Ⅴ（３）",U209="新加算ⅠⅤ（４）",U209="新加算Ⅴ（５）",U209="新加算Ⅴ（６）",U209="新加算Ⅴ（８）",U209="新加算Ⅴ（11）"),IF(AJ209="○","","未入力"),"")</f>
        <v/>
      </c>
      <c r="BA209" s="1321" t="str">
        <f>IF(OR(V209="新加算Ⅰ",V209="新加算Ⅱ",V209="新加算Ⅲ",V209="新加算Ⅳ",V209="新加算Ⅴ（１）",V209="新加算Ⅴ（２）",V209="新加算Ⅴ（３）",V209="新加算ⅠⅤ（４）",V209="新加算Ⅴ（５）",V209="新加算Ⅴ（６）",V209="新加算Ⅴ（８）",V209="新加算Ⅴ（11）"),IF(AK209="○","","未入力"),"")</f>
        <v/>
      </c>
      <c r="BB209" s="1321" t="str">
        <f>IF(OR(V209="新加算Ⅴ（７）",V209="新加算Ⅴ（９）",V209="新加算Ⅴ（10）",V209="新加算Ⅴ（12）",V209="新加算Ⅴ（13）",V209="新加算Ⅴ（14）"),IF(AL209="○","","未入力"),"")</f>
        <v/>
      </c>
      <c r="BC209" s="1321" t="str">
        <f>IF(OR(V209="新加算Ⅰ",V209="新加算Ⅱ",V209="新加算Ⅲ",V209="新加算Ⅴ（１）",V209="新加算Ⅴ（３）",V209="新加算Ⅴ（８）"),IF(AM209="○","","未入力"),"")</f>
        <v/>
      </c>
      <c r="BD209" s="1588"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493" t="str">
        <f>IF(AND(U209&lt;&gt;"（参考）令和７年度の移行予定",OR(V209="新加算Ⅰ",V209="新加算Ⅴ（１）",V209="新加算Ⅴ（２）",V209="新加算Ⅴ（５）",V209="新加算Ⅴ（７）",V209="新加算Ⅴ（10）")),IF(AO209="","未入力",IF(AO209="いずれも取得していない","要件を満たさない","")),"")</f>
        <v/>
      </c>
      <c r="BF209" s="1493" t="str">
        <f>G206</f>
        <v/>
      </c>
      <c r="BG209" s="1493"/>
      <c r="BH209" s="1493"/>
    </row>
    <row r="210" spans="1:60" ht="30" customHeight="1">
      <c r="A210" s="1241">
        <v>50</v>
      </c>
      <c r="B210" s="1272" t="str">
        <f>IF(基本情報入力シート!C103="","",基本情報入力シート!C103)</f>
        <v/>
      </c>
      <c r="C210" s="1261"/>
      <c r="D210" s="1261"/>
      <c r="E210" s="1261"/>
      <c r="F210" s="1262"/>
      <c r="G210" s="1266" t="str">
        <f>IF(基本情報入力シート!M103="","",基本情報入力シート!M103)</f>
        <v/>
      </c>
      <c r="H210" s="1266" t="str">
        <f>IF(基本情報入力シート!R103="","",基本情報入力シート!R103)</f>
        <v/>
      </c>
      <c r="I210" s="1266" t="str">
        <f>IF(基本情報入力シート!W103="","",基本情報入力シート!W103)</f>
        <v/>
      </c>
      <c r="J210" s="1372" t="str">
        <f>IF(基本情報入力シート!X103="","",基本情報入力シート!X103)</f>
        <v/>
      </c>
      <c r="K210" s="1266" t="str">
        <f>IF(基本情報入力シート!Y103="","",基本情報入力シート!Y103)</f>
        <v/>
      </c>
      <c r="L210" s="1451" t="str">
        <f>IF(基本情報入力シート!AB103="","",基本情報入力シート!AB103)</f>
        <v/>
      </c>
      <c r="M210" s="1453" t="str">
        <f>IF(基本情報入力シート!AC103="","",基本情報入力シート!AC103)</f>
        <v/>
      </c>
      <c r="N210" s="647" t="str">
        <f>IF('別紙様式2-2（４・５月分）'!Q161="","",'別紙様式2-2（４・５月分）'!Q161)</f>
        <v/>
      </c>
      <c r="O210" s="1366" t="str">
        <f>IF(SUM('別紙様式2-2（４・５月分）'!R161:R163)=0,"",SUM('別紙様式2-2（４・５月分）'!R161:R163))</f>
        <v/>
      </c>
      <c r="P210" s="1380" t="str">
        <f>IFERROR(VLOOKUP('別紙様式2-2（４・５月分）'!AR161,【参考】数式用!$AT$5:$AU$22,2,FALSE),"")</f>
        <v/>
      </c>
      <c r="Q210" s="1381"/>
      <c r="R210" s="1382"/>
      <c r="S210" s="1392" t="str">
        <f>IFERROR(VLOOKUP(K210,【参考】数式用!$A$5:$AB$27,MATCH(P210,【参考】数式用!$B$4:$AB$4,0)+1,0),"")</f>
        <v/>
      </c>
      <c r="T210" s="1413" t="s">
        <v>2258</v>
      </c>
      <c r="U210" s="1562" t="str">
        <f>IF('別紙様式2-3（６月以降分）'!U210="","",'別紙様式2-3（６月以降分）'!U210)</f>
        <v/>
      </c>
      <c r="V210" s="1457" t="str">
        <f>IFERROR(VLOOKUP(K210,【参考】数式用!$A$5:$AB$27,MATCH(U210,【参考】数式用!$B$4:$AB$4,0)+1,0),"")</f>
        <v/>
      </c>
      <c r="W210" s="1350" t="s">
        <v>19</v>
      </c>
      <c r="X210" s="1534">
        <f>'別紙様式2-3（６月以降分）'!X210</f>
        <v>6</v>
      </c>
      <c r="Y210" s="1354" t="s">
        <v>10</v>
      </c>
      <c r="Z210" s="1534">
        <f>'別紙様式2-3（６月以降分）'!Z210</f>
        <v>6</v>
      </c>
      <c r="AA210" s="1354" t="s">
        <v>45</v>
      </c>
      <c r="AB210" s="1534">
        <f>'別紙様式2-3（６月以降分）'!AB210</f>
        <v>7</v>
      </c>
      <c r="AC210" s="1354" t="s">
        <v>10</v>
      </c>
      <c r="AD210" s="1534">
        <f>'別紙様式2-3（６月以降分）'!AD210</f>
        <v>3</v>
      </c>
      <c r="AE210" s="1354" t="s">
        <v>2172</v>
      </c>
      <c r="AF210" s="1354" t="s">
        <v>24</v>
      </c>
      <c r="AG210" s="1354">
        <f>IF(X210&gt;=1,(AB210*12+AD210)-(X210*12+Z210)+1,"")</f>
        <v>10</v>
      </c>
      <c r="AH210" s="1360" t="s">
        <v>38</v>
      </c>
      <c r="AI210" s="1481" t="str">
        <f>'別紙様式2-3（６月以降分）'!AI210</f>
        <v/>
      </c>
      <c r="AJ210" s="1542" t="str">
        <f>'別紙様式2-3（６月以降分）'!AJ210</f>
        <v/>
      </c>
      <c r="AK210" s="1538">
        <f>'別紙様式2-3（６月以降分）'!AK210</f>
        <v>0</v>
      </c>
      <c r="AL210" s="1540" t="str">
        <f>IF('別紙様式2-3（６月以降分）'!AL210="","",'別紙様式2-3（６月以降分）'!AL210)</f>
        <v/>
      </c>
      <c r="AM210" s="1571">
        <f>'別紙様式2-3（６月以降分）'!AM210</f>
        <v>0</v>
      </c>
      <c r="AN210" s="1573" t="str">
        <f>IF('別紙様式2-3（６月以降分）'!AN210="","",'別紙様式2-3（６月以降分）'!AN210)</f>
        <v/>
      </c>
      <c r="AO210" s="1403" t="str">
        <f>IF('別紙様式2-3（６月以降分）'!AO210="","",'別紙様式2-3（６月以降分）'!AO210)</f>
        <v/>
      </c>
      <c r="AP210" s="1502" t="str">
        <f>IF('別紙様式2-3（６月以降分）'!AP210="","",'別紙様式2-3（６月以降分）'!AP210)</f>
        <v/>
      </c>
      <c r="AQ210" s="1403" t="str">
        <f>IF('別紙様式2-3（６月以降分）'!AQ210="","",'別紙様式2-3（６月以降分）'!AQ210)</f>
        <v/>
      </c>
      <c r="AR210" s="1583" t="str">
        <f>IF('別紙様式2-3（６月以降分）'!AR210="","",'別紙様式2-3（６月以降分）'!AR210)</f>
        <v/>
      </c>
      <c r="AS210" s="1536" t="str">
        <f>IF('別紙様式2-3（６月以降分）'!AS210="","",'別紙様式2-3（６月以降分）'!AS210)</f>
        <v/>
      </c>
      <c r="AT210" s="667" t="str">
        <f t="shared" ref="AT210" si="237">IF(AV212="","",IF(V212&lt;V210,"！加算の要件上は問題ありませんが、令和６年度当初の新加算の加算率と比較して、移行後の加算率が下がる計画になっています。",""))</f>
        <v/>
      </c>
      <c r="AU210" s="674"/>
      <c r="AV210" s="1233"/>
      <c r="AW210" s="652" t="str">
        <f>IF('別紙様式2-2（４・５月分）'!O161="","",'別紙様式2-2（４・５月分）'!O161)</f>
        <v/>
      </c>
      <c r="AX210" s="1507" t="str">
        <f>IF(SUM('別紙様式2-2（４・５月分）'!P161:P163)=0,"",SUM('別紙様式2-2（４・５月分）'!P161:P163))</f>
        <v/>
      </c>
      <c r="AY210" s="1589" t="str">
        <f>IFERROR(VLOOKUP(K210,【参考】数式用!$AJ$2:$AK$24,2,FALSE),"")</f>
        <v/>
      </c>
      <c r="AZ210" s="584"/>
      <c r="BE210" s="428"/>
      <c r="BF210" s="1493" t="str">
        <f>G210</f>
        <v/>
      </c>
      <c r="BG210" s="1493"/>
      <c r="BH210" s="1493"/>
    </row>
    <row r="211" spans="1:60" ht="15" customHeight="1">
      <c r="A211" s="1226"/>
      <c r="B211" s="1272"/>
      <c r="C211" s="1261"/>
      <c r="D211" s="1261"/>
      <c r="E211" s="1261"/>
      <c r="F211" s="1262"/>
      <c r="G211" s="1266"/>
      <c r="H211" s="1266"/>
      <c r="I211" s="1266"/>
      <c r="J211" s="1372"/>
      <c r="K211" s="1266"/>
      <c r="L211" s="1451"/>
      <c r="M211" s="1453"/>
      <c r="N211" s="1370" t="str">
        <f>IF('別紙様式2-2（４・５月分）'!Q162="","",'別紙様式2-2（４・５月分）'!Q162)</f>
        <v/>
      </c>
      <c r="O211" s="1367"/>
      <c r="P211" s="1383"/>
      <c r="Q211" s="1384"/>
      <c r="R211" s="1385"/>
      <c r="S211" s="1393"/>
      <c r="T211" s="1414"/>
      <c r="U211" s="1563"/>
      <c r="V211" s="1458"/>
      <c r="W211" s="1351"/>
      <c r="X211" s="1535"/>
      <c r="Y211" s="1355"/>
      <c r="Z211" s="1535"/>
      <c r="AA211" s="1355"/>
      <c r="AB211" s="1535"/>
      <c r="AC211" s="1355"/>
      <c r="AD211" s="1535"/>
      <c r="AE211" s="1355"/>
      <c r="AF211" s="1355"/>
      <c r="AG211" s="1355"/>
      <c r="AH211" s="1361"/>
      <c r="AI211" s="1482"/>
      <c r="AJ211" s="1543"/>
      <c r="AK211" s="1539"/>
      <c r="AL211" s="1541"/>
      <c r="AM211" s="1572"/>
      <c r="AN211" s="1574"/>
      <c r="AO211" s="1404"/>
      <c r="AP211" s="1533"/>
      <c r="AQ211" s="1404"/>
      <c r="AR211" s="1584"/>
      <c r="AS211" s="1537"/>
      <c r="AT211" s="1532" t="str">
        <f t="shared" ref="AT211" si="238">IF(AV212="","",IF(OR(AB212="",AB212&lt;&gt;7,AD212="",AD212&lt;&gt;3),"！算定期間の終わりが令和７年３月になっていません。年度内の廃止予定等がなければ、算定対象月を令和７年３月にしてください。",""))</f>
        <v/>
      </c>
      <c r="AU211" s="674"/>
      <c r="AV211" s="1493"/>
      <c r="AW211" s="1518" t="str">
        <f>IF('別紙様式2-2（４・５月分）'!O162="","",'別紙様式2-2（４・５月分）'!O162)</f>
        <v/>
      </c>
      <c r="AX211" s="1507"/>
      <c r="AY211" s="1589"/>
      <c r="AZ211" s="521"/>
      <c r="BE211" s="428"/>
      <c r="BF211" s="1493" t="str">
        <f>G210</f>
        <v/>
      </c>
      <c r="BG211" s="1493"/>
      <c r="BH211" s="1493"/>
    </row>
    <row r="212" spans="1:60" ht="15" customHeight="1">
      <c r="A212" s="1240"/>
      <c r="B212" s="1272"/>
      <c r="C212" s="1261"/>
      <c r="D212" s="1261"/>
      <c r="E212" s="1261"/>
      <c r="F212" s="1262"/>
      <c r="G212" s="1266"/>
      <c r="H212" s="1266"/>
      <c r="I212" s="1266"/>
      <c r="J212" s="1372"/>
      <c r="K212" s="1266"/>
      <c r="L212" s="1451"/>
      <c r="M212" s="1453"/>
      <c r="N212" s="1371"/>
      <c r="O212" s="1368"/>
      <c r="P212" s="1390" t="s">
        <v>2179</v>
      </c>
      <c r="Q212" s="1504" t="str">
        <f>IFERROR(VLOOKUP('別紙様式2-2（４・５月分）'!AR161,【参考】数式用!$AT$5:$AV$22,3,FALSE),"")</f>
        <v/>
      </c>
      <c r="R212" s="1388" t="s">
        <v>2190</v>
      </c>
      <c r="S212" s="1394" t="str">
        <f>IFERROR(VLOOKUP(K210,【参考】数式用!$A$5:$AB$27,MATCH(Q212,【参考】数式用!$B$4:$AB$4,0)+1,0),"")</f>
        <v/>
      </c>
      <c r="T212" s="1459" t="s">
        <v>2267</v>
      </c>
      <c r="U212" s="1569"/>
      <c r="V212" s="1463" t="str">
        <f>IFERROR(VLOOKUP(K210,【参考】数式用!$A$5:$AB$27,MATCH(U212,【参考】数式用!$B$4:$AB$4,0)+1,0),"")</f>
        <v/>
      </c>
      <c r="W212" s="1465" t="s">
        <v>19</v>
      </c>
      <c r="X212" s="1564"/>
      <c r="Y212" s="1407" t="s">
        <v>10</v>
      </c>
      <c r="Z212" s="1564"/>
      <c r="AA212" s="1407" t="s">
        <v>45</v>
      </c>
      <c r="AB212" s="1564"/>
      <c r="AC212" s="1407" t="s">
        <v>10</v>
      </c>
      <c r="AD212" s="1564"/>
      <c r="AE212" s="1407" t="s">
        <v>2172</v>
      </c>
      <c r="AF212" s="1407" t="s">
        <v>24</v>
      </c>
      <c r="AG212" s="1407" t="str">
        <f>IF(X212&gt;=1,(AB212*12+AD212)-(X212*12+Z212)+1,"")</f>
        <v/>
      </c>
      <c r="AH212" s="1409" t="s">
        <v>38</v>
      </c>
      <c r="AI212" s="1411" t="str">
        <f t="shared" ref="AI212" si="239">IFERROR(ROUNDDOWN(ROUND(L210*V212,0)*M210,0)*AG212,"")</f>
        <v/>
      </c>
      <c r="AJ212" s="1577" t="str">
        <f>IFERROR(ROUNDDOWN(ROUND((L210*(V212-AX210)),0)*M210,0)*AG212,"")</f>
        <v/>
      </c>
      <c r="AK212" s="1494" t="str">
        <f>IFERROR(ROUNDDOWN(ROUNDDOWN(ROUND(L210*VLOOKUP(K210,【参考】数式用!$A$5:$AB$27,MATCH("新加算Ⅳ",【参考】数式用!$B$4:$AB$4,0)+1,0),0)*M210,0)*AG212*0.5,0),"")</f>
        <v/>
      </c>
      <c r="AL212" s="1579"/>
      <c r="AM212" s="1585" t="str">
        <f>IFERROR(IF('別紙様式2-2（４・５月分）'!Q163="ベア加算","", IF(OR(U212="新加算Ⅰ",U212="新加算Ⅱ",U212="新加算Ⅲ",U212="新加算Ⅳ"),ROUNDDOWN(ROUND(L210*VLOOKUP(K210,【参考】数式用!$A$5:$I$27,MATCH("ベア加算",【参考】数式用!$B$4:$I$4,0)+1,0),0)*M210,0)*AG212,"")),"")</f>
        <v/>
      </c>
      <c r="AN212" s="1548"/>
      <c r="AO212" s="1554"/>
      <c r="AP212" s="1552"/>
      <c r="AQ212" s="1554"/>
      <c r="AR212" s="1556"/>
      <c r="AS212" s="1558"/>
      <c r="AT212" s="1532"/>
      <c r="AU212" s="542"/>
      <c r="AV212" s="1493" t="str">
        <f t="shared" ref="AV212" si="240">IF(OR(AB210&lt;&gt;7,AD210&lt;&gt;3),"V列に色付け","")</f>
        <v/>
      </c>
      <c r="AW212" s="1518"/>
      <c r="AX212" s="1507"/>
      <c r="AY212" s="671"/>
      <c r="AZ212" s="1321" t="str">
        <f>IF(AM212&lt;&gt;"",IF(AN212="○","入力済","未入力"),"")</f>
        <v/>
      </c>
      <c r="BA212" s="1321"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321" t="str">
        <f>IF(OR(U212="新加算Ⅴ（７）",U212="新加算Ⅴ（９）",U212="新加算Ⅴ（10）",U212="新加算Ⅴ（12）",U212="新加算Ⅴ（13）",U212="新加算Ⅴ（14）"),IF(OR(AP212="○",AP212="令和６年度中に満たす"),"入力済","未入力"),"")</f>
        <v/>
      </c>
      <c r="BC212" s="1321" t="str">
        <f>IF(OR(U212="新加算Ⅰ",U212="新加算Ⅱ",U212="新加算Ⅲ",U212="新加算Ⅴ（１）",U212="新加算Ⅴ（３）",U212="新加算Ⅴ（８）"),IF(OR(AQ212="○",AQ212="令和６年度中に満たす"),"入力済","未入力"),"")</f>
        <v/>
      </c>
      <c r="BD212" s="1588"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493" t="str">
        <f>IF(OR(U212="新加算Ⅰ",U212="新加算Ⅴ（１）",U212="新加算Ⅴ（２）",U212="新加算Ⅴ（５）",U212="新加算Ⅴ（７）",U212="新加算Ⅴ（10）"),IF(AS212="","未入力","入力済"),"")</f>
        <v/>
      </c>
      <c r="BF212" s="1493" t="str">
        <f>G210</f>
        <v/>
      </c>
      <c r="BG212" s="1493"/>
      <c r="BH212" s="1493"/>
    </row>
    <row r="213" spans="1:60" ht="30" customHeight="1" thickBot="1">
      <c r="A213" s="1227"/>
      <c r="B213" s="1376"/>
      <c r="C213" s="1377"/>
      <c r="D213" s="1377"/>
      <c r="E213" s="1377"/>
      <c r="F213" s="1378"/>
      <c r="G213" s="1267"/>
      <c r="H213" s="1267"/>
      <c r="I213" s="1267"/>
      <c r="J213" s="1373"/>
      <c r="K213" s="1267"/>
      <c r="L213" s="1452"/>
      <c r="M213" s="1454"/>
      <c r="N213" s="650" t="str">
        <f>IF('別紙様式2-2（４・５月分）'!Q163="","",'別紙様式2-2（４・５月分）'!Q163)</f>
        <v/>
      </c>
      <c r="O213" s="1369"/>
      <c r="P213" s="1391"/>
      <c r="Q213" s="1505"/>
      <c r="R213" s="1389"/>
      <c r="S213" s="1395"/>
      <c r="T213" s="1460"/>
      <c r="U213" s="1570"/>
      <c r="V213" s="1464"/>
      <c r="W213" s="1466"/>
      <c r="X213" s="1565"/>
      <c r="Y213" s="1408"/>
      <c r="Z213" s="1565"/>
      <c r="AA213" s="1408"/>
      <c r="AB213" s="1565"/>
      <c r="AC213" s="1408"/>
      <c r="AD213" s="1565"/>
      <c r="AE213" s="1408"/>
      <c r="AF213" s="1408"/>
      <c r="AG213" s="1408"/>
      <c r="AH213" s="1410"/>
      <c r="AI213" s="1412"/>
      <c r="AJ213" s="1578"/>
      <c r="AK213" s="1495"/>
      <c r="AL213" s="1580"/>
      <c r="AM213" s="1586"/>
      <c r="AN213" s="1549"/>
      <c r="AO213" s="1555"/>
      <c r="AP213" s="1553"/>
      <c r="AQ213" s="1555"/>
      <c r="AR213" s="1557"/>
      <c r="AS213" s="1559"/>
      <c r="AT213" s="672" t="str">
        <f t="shared" ref="AT213" si="241">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42"/>
      <c r="AV213" s="1493"/>
      <c r="AW213" s="652" t="str">
        <f>IF('別紙様式2-2（４・５月分）'!O163="","",'別紙様式2-2（４・５月分）'!O163)</f>
        <v/>
      </c>
      <c r="AX213" s="1507"/>
      <c r="AY213" s="673"/>
      <c r="AZ213" s="1321" t="str">
        <f>IF(OR(U213="新加算Ⅰ",U213="新加算Ⅱ",U213="新加算Ⅲ",U213="新加算Ⅳ",U213="新加算Ⅴ（１）",U213="新加算Ⅴ（２）",U213="新加算Ⅴ（３）",U213="新加算ⅠⅤ（４）",U213="新加算Ⅴ（５）",U213="新加算Ⅴ（６）",U213="新加算Ⅴ（８）",U213="新加算Ⅴ（11）"),IF(AJ213="○","","未入力"),"")</f>
        <v/>
      </c>
      <c r="BA213" s="1321" t="str">
        <f>IF(OR(V213="新加算Ⅰ",V213="新加算Ⅱ",V213="新加算Ⅲ",V213="新加算Ⅳ",V213="新加算Ⅴ（１）",V213="新加算Ⅴ（２）",V213="新加算Ⅴ（３）",V213="新加算ⅠⅤ（４）",V213="新加算Ⅴ（５）",V213="新加算Ⅴ（６）",V213="新加算Ⅴ（８）",V213="新加算Ⅴ（11）"),IF(AK213="○","","未入力"),"")</f>
        <v/>
      </c>
      <c r="BB213" s="1321" t="str">
        <f>IF(OR(V213="新加算Ⅴ（７）",V213="新加算Ⅴ（９）",V213="新加算Ⅴ（10）",V213="新加算Ⅴ（12）",V213="新加算Ⅴ（13）",V213="新加算Ⅴ（14）"),IF(AL213="○","","未入力"),"")</f>
        <v/>
      </c>
      <c r="BC213" s="1321" t="str">
        <f>IF(OR(V213="新加算Ⅰ",V213="新加算Ⅱ",V213="新加算Ⅲ",V213="新加算Ⅴ（１）",V213="新加算Ⅴ（３）",V213="新加算Ⅴ（８）"),IF(AM213="○","","未入力"),"")</f>
        <v/>
      </c>
      <c r="BD213" s="1588"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493" t="str">
        <f>IF(AND(U213&lt;&gt;"（参考）令和７年度の移行予定",OR(V213="新加算Ⅰ",V213="新加算Ⅴ（１）",V213="新加算Ⅴ（２）",V213="新加算Ⅴ（５）",V213="新加算Ⅴ（７）",V213="新加算Ⅴ（10）")),IF(AO213="","未入力",IF(AO213="いずれも取得していない","要件を満たさない","")),"")</f>
        <v/>
      </c>
      <c r="BF213" s="1493" t="str">
        <f>G210</f>
        <v/>
      </c>
      <c r="BG213" s="1493"/>
      <c r="BH213" s="1493"/>
    </row>
    <row r="214" spans="1:60" ht="30" customHeight="1">
      <c r="A214" s="1225">
        <v>51</v>
      </c>
      <c r="B214" s="1271" t="str">
        <f>IF(基本情報入力シート!C104="","",基本情報入力シート!C104)</f>
        <v/>
      </c>
      <c r="C214" s="1259"/>
      <c r="D214" s="1259"/>
      <c r="E214" s="1259"/>
      <c r="F214" s="1260"/>
      <c r="G214" s="1265" t="str">
        <f>IF(基本情報入力シート!M104="","",基本情報入力シート!M104)</f>
        <v/>
      </c>
      <c r="H214" s="1265" t="str">
        <f>IF(基本情報入力シート!R104="","",基本情報入力シート!R104)</f>
        <v/>
      </c>
      <c r="I214" s="1265" t="str">
        <f>IF(基本情報入力シート!W104="","",基本情報入力シート!W104)</f>
        <v/>
      </c>
      <c r="J214" s="1379" t="str">
        <f>IF(基本情報入力シート!X104="","",基本情報入力シート!X104)</f>
        <v/>
      </c>
      <c r="K214" s="1265" t="str">
        <f>IF(基本情報入力シート!Y104="","",基本情報入力シート!Y104)</f>
        <v/>
      </c>
      <c r="L214" s="1450" t="str">
        <f>IF(基本情報入力シート!AB104="","",基本情報入力シート!AB104)</f>
        <v/>
      </c>
      <c r="M214" s="1447" t="str">
        <f>IF(基本情報入力シート!AC104="","",基本情報入力シート!AC104)</f>
        <v/>
      </c>
      <c r="N214" s="647" t="str">
        <f>IF('別紙様式2-2（４・５月分）'!Q164="","",'別紙様式2-2（４・５月分）'!Q164)</f>
        <v/>
      </c>
      <c r="O214" s="1366" t="str">
        <f>IF(SUM('別紙様式2-2（４・５月分）'!R164:R166)=0,"",SUM('別紙様式2-2（４・５月分）'!R164:R166))</f>
        <v/>
      </c>
      <c r="P214" s="1380" t="str">
        <f>IFERROR(VLOOKUP('別紙様式2-2（４・５月分）'!AR164,【参考】数式用!$AT$5:$AU$22,2,FALSE),"")</f>
        <v/>
      </c>
      <c r="Q214" s="1381"/>
      <c r="R214" s="1382"/>
      <c r="S214" s="1392" t="str">
        <f>IFERROR(VLOOKUP(K214,【参考】数式用!$A$5:$AB$27,MATCH(P214,【参考】数式用!$B$4:$AB$4,0)+1,0),"")</f>
        <v/>
      </c>
      <c r="T214" s="1413" t="s">
        <v>2258</v>
      </c>
      <c r="U214" s="1562" t="str">
        <f>IF('別紙様式2-3（６月以降分）'!U214="","",'別紙様式2-3（６月以降分）'!U214)</f>
        <v/>
      </c>
      <c r="V214" s="1457" t="str">
        <f>IFERROR(VLOOKUP(K214,【参考】数式用!$A$5:$AB$27,MATCH(U214,【参考】数式用!$B$4:$AB$4,0)+1,0),"")</f>
        <v/>
      </c>
      <c r="W214" s="1350" t="s">
        <v>19</v>
      </c>
      <c r="X214" s="1534">
        <f>'別紙様式2-3（６月以降分）'!X214</f>
        <v>6</v>
      </c>
      <c r="Y214" s="1354" t="s">
        <v>10</v>
      </c>
      <c r="Z214" s="1534">
        <f>'別紙様式2-3（６月以降分）'!Z214</f>
        <v>6</v>
      </c>
      <c r="AA214" s="1354" t="s">
        <v>45</v>
      </c>
      <c r="AB214" s="1534">
        <f>'別紙様式2-3（６月以降分）'!AB214</f>
        <v>7</v>
      </c>
      <c r="AC214" s="1354" t="s">
        <v>10</v>
      </c>
      <c r="AD214" s="1534">
        <f>'別紙様式2-3（６月以降分）'!AD214</f>
        <v>3</v>
      </c>
      <c r="AE214" s="1354" t="s">
        <v>2172</v>
      </c>
      <c r="AF214" s="1354" t="s">
        <v>24</v>
      </c>
      <c r="AG214" s="1354">
        <f>IF(X214&gt;=1,(AB214*12+AD214)-(X214*12+Z214)+1,"")</f>
        <v>10</v>
      </c>
      <c r="AH214" s="1360" t="s">
        <v>38</v>
      </c>
      <c r="AI214" s="1481" t="str">
        <f>'別紙様式2-3（６月以降分）'!AI214</f>
        <v/>
      </c>
      <c r="AJ214" s="1542" t="str">
        <f>'別紙様式2-3（６月以降分）'!AJ214</f>
        <v/>
      </c>
      <c r="AK214" s="1538">
        <f>'別紙様式2-3（６月以降分）'!AK214</f>
        <v>0</v>
      </c>
      <c r="AL214" s="1540" t="str">
        <f>IF('別紙様式2-3（６月以降分）'!AL214="","",'別紙様式2-3（６月以降分）'!AL214)</f>
        <v/>
      </c>
      <c r="AM214" s="1571">
        <f>'別紙様式2-3（６月以降分）'!AM214</f>
        <v>0</v>
      </c>
      <c r="AN214" s="1573" t="str">
        <f>IF('別紙様式2-3（６月以降分）'!AN214="","",'別紙様式2-3（６月以降分）'!AN214)</f>
        <v/>
      </c>
      <c r="AO214" s="1403" t="str">
        <f>IF('別紙様式2-3（６月以降分）'!AO214="","",'別紙様式2-3（６月以降分）'!AO214)</f>
        <v/>
      </c>
      <c r="AP214" s="1502" t="str">
        <f>IF('別紙様式2-3（６月以降分）'!AP214="","",'別紙様式2-3（６月以降分）'!AP214)</f>
        <v/>
      </c>
      <c r="AQ214" s="1403" t="str">
        <f>IF('別紙様式2-3（６月以降分）'!AQ214="","",'別紙様式2-3（６月以降分）'!AQ214)</f>
        <v/>
      </c>
      <c r="AR214" s="1583" t="str">
        <f>IF('別紙様式2-3（６月以降分）'!AR214="","",'別紙様式2-3（６月以降分）'!AR214)</f>
        <v/>
      </c>
      <c r="AS214" s="1536" t="str">
        <f>IF('別紙様式2-3（６月以降分）'!AS214="","",'別紙様式2-3（６月以降分）'!AS214)</f>
        <v/>
      </c>
      <c r="AT214" s="667" t="str">
        <f t="shared" ref="AT214" si="242">IF(AV216="","",IF(V216&lt;V214,"！加算の要件上は問題ありませんが、令和６年度当初の新加算の加算率と比較して、移行後の加算率が下がる計画になっています。",""))</f>
        <v/>
      </c>
      <c r="AU214" s="674"/>
      <c r="AV214" s="1233"/>
      <c r="AW214" s="652" t="str">
        <f>IF('別紙様式2-2（４・５月分）'!O164="","",'別紙様式2-2（４・５月分）'!O164)</f>
        <v/>
      </c>
      <c r="AX214" s="1507" t="str">
        <f>IF(SUM('別紙様式2-2（４・５月分）'!P164:P166)=0,"",SUM('別紙様式2-2（４・５月分）'!P164:P166))</f>
        <v/>
      </c>
      <c r="AY214" s="1590" t="str">
        <f>IFERROR(VLOOKUP(K214,【参考】数式用!$AJ$2:$AK$24,2,FALSE),"")</f>
        <v/>
      </c>
      <c r="AZ214" s="584"/>
      <c r="BE214" s="428"/>
      <c r="BF214" s="1493" t="str">
        <f>G214</f>
        <v/>
      </c>
      <c r="BG214" s="1493"/>
      <c r="BH214" s="1493"/>
    </row>
    <row r="215" spans="1:60" ht="15" customHeight="1">
      <c r="A215" s="1226"/>
      <c r="B215" s="1272"/>
      <c r="C215" s="1261"/>
      <c r="D215" s="1261"/>
      <c r="E215" s="1261"/>
      <c r="F215" s="1262"/>
      <c r="G215" s="1266"/>
      <c r="H215" s="1266"/>
      <c r="I215" s="1266"/>
      <c r="J215" s="1372"/>
      <c r="K215" s="1266"/>
      <c r="L215" s="1451"/>
      <c r="M215" s="1448"/>
      <c r="N215" s="1370" t="str">
        <f>IF('別紙様式2-2（４・５月分）'!Q165="","",'別紙様式2-2（４・５月分）'!Q165)</f>
        <v/>
      </c>
      <c r="O215" s="1367"/>
      <c r="P215" s="1383"/>
      <c r="Q215" s="1384"/>
      <c r="R215" s="1385"/>
      <c r="S215" s="1393"/>
      <c r="T215" s="1414"/>
      <c r="U215" s="1563"/>
      <c r="V215" s="1458"/>
      <c r="W215" s="1351"/>
      <c r="X215" s="1535"/>
      <c r="Y215" s="1355"/>
      <c r="Z215" s="1535"/>
      <c r="AA215" s="1355"/>
      <c r="AB215" s="1535"/>
      <c r="AC215" s="1355"/>
      <c r="AD215" s="1535"/>
      <c r="AE215" s="1355"/>
      <c r="AF215" s="1355"/>
      <c r="AG215" s="1355"/>
      <c r="AH215" s="1361"/>
      <c r="AI215" s="1482"/>
      <c r="AJ215" s="1543"/>
      <c r="AK215" s="1539"/>
      <c r="AL215" s="1541"/>
      <c r="AM215" s="1572"/>
      <c r="AN215" s="1574"/>
      <c r="AO215" s="1404"/>
      <c r="AP215" s="1533"/>
      <c r="AQ215" s="1404"/>
      <c r="AR215" s="1584"/>
      <c r="AS215" s="1537"/>
      <c r="AT215" s="1532" t="str">
        <f t="shared" ref="AT215" si="243">IF(AV216="","",IF(OR(AB216="",AB216&lt;&gt;7,AD216="",AD216&lt;&gt;3),"！算定期間の終わりが令和７年３月になっていません。年度内の廃止予定等がなければ、算定対象月を令和７年３月にしてください。",""))</f>
        <v/>
      </c>
      <c r="AU215" s="674"/>
      <c r="AV215" s="1493"/>
      <c r="AW215" s="1518" t="str">
        <f>IF('別紙様式2-2（４・５月分）'!O165="","",'別紙様式2-2（４・５月分）'!O165)</f>
        <v/>
      </c>
      <c r="AX215" s="1507"/>
      <c r="AY215" s="1589"/>
      <c r="AZ215" s="521"/>
      <c r="BE215" s="428"/>
      <c r="BF215" s="1493" t="str">
        <f>G214</f>
        <v/>
      </c>
      <c r="BG215" s="1493"/>
      <c r="BH215" s="1493"/>
    </row>
    <row r="216" spans="1:60" ht="15" customHeight="1">
      <c r="A216" s="1240"/>
      <c r="B216" s="1272"/>
      <c r="C216" s="1261"/>
      <c r="D216" s="1261"/>
      <c r="E216" s="1261"/>
      <c r="F216" s="1262"/>
      <c r="G216" s="1266"/>
      <c r="H216" s="1266"/>
      <c r="I216" s="1266"/>
      <c r="J216" s="1372"/>
      <c r="K216" s="1266"/>
      <c r="L216" s="1451"/>
      <c r="M216" s="1448"/>
      <c r="N216" s="1371"/>
      <c r="O216" s="1368"/>
      <c r="P216" s="1390" t="s">
        <v>2179</v>
      </c>
      <c r="Q216" s="1504" t="str">
        <f>IFERROR(VLOOKUP('別紙様式2-2（４・５月分）'!AR164,【参考】数式用!$AT$5:$AV$22,3,FALSE),"")</f>
        <v/>
      </c>
      <c r="R216" s="1388" t="s">
        <v>2190</v>
      </c>
      <c r="S216" s="1396" t="str">
        <f>IFERROR(VLOOKUP(K214,【参考】数式用!$A$5:$AB$27,MATCH(Q216,【参考】数式用!$B$4:$AB$4,0)+1,0),"")</f>
        <v/>
      </c>
      <c r="T216" s="1459" t="s">
        <v>2267</v>
      </c>
      <c r="U216" s="1569"/>
      <c r="V216" s="1463" t="str">
        <f>IFERROR(VLOOKUP(K214,【参考】数式用!$A$5:$AB$27,MATCH(U216,【参考】数式用!$B$4:$AB$4,0)+1,0),"")</f>
        <v/>
      </c>
      <c r="W216" s="1465" t="s">
        <v>19</v>
      </c>
      <c r="X216" s="1564"/>
      <c r="Y216" s="1407" t="s">
        <v>10</v>
      </c>
      <c r="Z216" s="1564"/>
      <c r="AA216" s="1407" t="s">
        <v>45</v>
      </c>
      <c r="AB216" s="1564"/>
      <c r="AC216" s="1407" t="s">
        <v>10</v>
      </c>
      <c r="AD216" s="1564"/>
      <c r="AE216" s="1407" t="s">
        <v>2172</v>
      </c>
      <c r="AF216" s="1407" t="s">
        <v>24</v>
      </c>
      <c r="AG216" s="1407" t="str">
        <f>IF(X216&gt;=1,(AB216*12+AD216)-(X216*12+Z216)+1,"")</f>
        <v/>
      </c>
      <c r="AH216" s="1409" t="s">
        <v>38</v>
      </c>
      <c r="AI216" s="1411" t="str">
        <f t="shared" ref="AI216" si="244">IFERROR(ROUNDDOWN(ROUND(L214*V216,0)*M214,0)*AG216,"")</f>
        <v/>
      </c>
      <c r="AJ216" s="1577" t="str">
        <f>IFERROR(ROUNDDOWN(ROUND((L214*(V216-AX214)),0)*M214,0)*AG216,"")</f>
        <v/>
      </c>
      <c r="AK216" s="1494" t="str">
        <f>IFERROR(ROUNDDOWN(ROUNDDOWN(ROUND(L214*VLOOKUP(K214,【参考】数式用!$A$5:$AB$27,MATCH("新加算Ⅳ",【参考】数式用!$B$4:$AB$4,0)+1,0),0)*M214,0)*AG216*0.5,0),"")</f>
        <v/>
      </c>
      <c r="AL216" s="1579"/>
      <c r="AM216" s="1585" t="str">
        <f>IFERROR(IF('別紙様式2-2（４・５月分）'!Q166="ベア加算","", IF(OR(U216="新加算Ⅰ",U216="新加算Ⅱ",U216="新加算Ⅲ",U216="新加算Ⅳ"),ROUNDDOWN(ROUND(L214*VLOOKUP(K214,【参考】数式用!$A$5:$I$27,MATCH("ベア加算",【参考】数式用!$B$4:$I$4,0)+1,0),0)*M214,0)*AG216,"")),"")</f>
        <v/>
      </c>
      <c r="AN216" s="1548"/>
      <c r="AO216" s="1554"/>
      <c r="AP216" s="1552"/>
      <c r="AQ216" s="1554"/>
      <c r="AR216" s="1556"/>
      <c r="AS216" s="1558"/>
      <c r="AT216" s="1532"/>
      <c r="AU216" s="542"/>
      <c r="AV216" s="1493" t="str">
        <f t="shared" ref="AV216" si="245">IF(OR(AB214&lt;&gt;7,AD214&lt;&gt;3),"V列に色付け","")</f>
        <v/>
      </c>
      <c r="AW216" s="1518"/>
      <c r="AX216" s="1507"/>
      <c r="AY216" s="671"/>
      <c r="AZ216" s="1321" t="str">
        <f>IF(AM216&lt;&gt;"",IF(AN216="○","入力済","未入力"),"")</f>
        <v/>
      </c>
      <c r="BA216" s="1321"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321" t="str">
        <f>IF(OR(U216="新加算Ⅴ（７）",U216="新加算Ⅴ（９）",U216="新加算Ⅴ（10）",U216="新加算Ⅴ（12）",U216="新加算Ⅴ（13）",U216="新加算Ⅴ（14）"),IF(OR(AP216="○",AP216="令和６年度中に満たす"),"入力済","未入力"),"")</f>
        <v/>
      </c>
      <c r="BC216" s="1321" t="str">
        <f>IF(OR(U216="新加算Ⅰ",U216="新加算Ⅱ",U216="新加算Ⅲ",U216="新加算Ⅴ（１）",U216="新加算Ⅴ（３）",U216="新加算Ⅴ（８）"),IF(OR(AQ216="○",AQ216="令和６年度中に満たす"),"入力済","未入力"),"")</f>
        <v/>
      </c>
      <c r="BD216" s="1588"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493" t="str">
        <f>IF(OR(U216="新加算Ⅰ",U216="新加算Ⅴ（１）",U216="新加算Ⅴ（２）",U216="新加算Ⅴ（５）",U216="新加算Ⅴ（７）",U216="新加算Ⅴ（10）"),IF(AS216="","未入力","入力済"),"")</f>
        <v/>
      </c>
      <c r="BF216" s="1493" t="str">
        <f>G214</f>
        <v/>
      </c>
      <c r="BG216" s="1493"/>
      <c r="BH216" s="1493"/>
    </row>
    <row r="217" spans="1:60" ht="30" customHeight="1" thickBot="1">
      <c r="A217" s="1227"/>
      <c r="B217" s="1376"/>
      <c r="C217" s="1377"/>
      <c r="D217" s="1377"/>
      <c r="E217" s="1377"/>
      <c r="F217" s="1378"/>
      <c r="G217" s="1267"/>
      <c r="H217" s="1267"/>
      <c r="I217" s="1267"/>
      <c r="J217" s="1373"/>
      <c r="K217" s="1267"/>
      <c r="L217" s="1452"/>
      <c r="M217" s="1449"/>
      <c r="N217" s="650" t="str">
        <f>IF('別紙様式2-2（４・５月分）'!Q166="","",'別紙様式2-2（４・５月分）'!Q166)</f>
        <v/>
      </c>
      <c r="O217" s="1369"/>
      <c r="P217" s="1391"/>
      <c r="Q217" s="1505"/>
      <c r="R217" s="1389"/>
      <c r="S217" s="1395"/>
      <c r="T217" s="1460"/>
      <c r="U217" s="1570"/>
      <c r="V217" s="1464"/>
      <c r="W217" s="1466"/>
      <c r="X217" s="1565"/>
      <c r="Y217" s="1408"/>
      <c r="Z217" s="1565"/>
      <c r="AA217" s="1408"/>
      <c r="AB217" s="1565"/>
      <c r="AC217" s="1408"/>
      <c r="AD217" s="1565"/>
      <c r="AE217" s="1408"/>
      <c r="AF217" s="1408"/>
      <c r="AG217" s="1408"/>
      <c r="AH217" s="1410"/>
      <c r="AI217" s="1412"/>
      <c r="AJ217" s="1578"/>
      <c r="AK217" s="1495"/>
      <c r="AL217" s="1580"/>
      <c r="AM217" s="1586"/>
      <c r="AN217" s="1549"/>
      <c r="AO217" s="1555"/>
      <c r="AP217" s="1553"/>
      <c r="AQ217" s="1555"/>
      <c r="AR217" s="1557"/>
      <c r="AS217" s="1559"/>
      <c r="AT217" s="672" t="str">
        <f t="shared" ref="AT217" si="24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42"/>
      <c r="AV217" s="1493"/>
      <c r="AW217" s="652" t="str">
        <f>IF('別紙様式2-2（４・５月分）'!O166="","",'別紙様式2-2（４・５月分）'!O166)</f>
        <v/>
      </c>
      <c r="AX217" s="1507"/>
      <c r="AY217" s="673"/>
      <c r="AZ217" s="1321" t="str">
        <f>IF(OR(U217="新加算Ⅰ",U217="新加算Ⅱ",U217="新加算Ⅲ",U217="新加算Ⅳ",U217="新加算Ⅴ（１）",U217="新加算Ⅴ（２）",U217="新加算Ⅴ（３）",U217="新加算ⅠⅤ（４）",U217="新加算Ⅴ（５）",U217="新加算Ⅴ（６）",U217="新加算Ⅴ（８）",U217="新加算Ⅴ（11）"),IF(AJ217="○","","未入力"),"")</f>
        <v/>
      </c>
      <c r="BA217" s="1321" t="str">
        <f>IF(OR(V217="新加算Ⅰ",V217="新加算Ⅱ",V217="新加算Ⅲ",V217="新加算Ⅳ",V217="新加算Ⅴ（１）",V217="新加算Ⅴ（２）",V217="新加算Ⅴ（３）",V217="新加算ⅠⅤ（４）",V217="新加算Ⅴ（５）",V217="新加算Ⅴ（６）",V217="新加算Ⅴ（８）",V217="新加算Ⅴ（11）"),IF(AK217="○","","未入力"),"")</f>
        <v/>
      </c>
      <c r="BB217" s="1321" t="str">
        <f>IF(OR(V217="新加算Ⅴ（７）",V217="新加算Ⅴ（９）",V217="新加算Ⅴ（10）",V217="新加算Ⅴ（12）",V217="新加算Ⅴ（13）",V217="新加算Ⅴ（14）"),IF(AL217="○","","未入力"),"")</f>
        <v/>
      </c>
      <c r="BC217" s="1321" t="str">
        <f>IF(OR(V217="新加算Ⅰ",V217="新加算Ⅱ",V217="新加算Ⅲ",V217="新加算Ⅴ（１）",V217="新加算Ⅴ（３）",V217="新加算Ⅴ（８）"),IF(AM217="○","","未入力"),"")</f>
        <v/>
      </c>
      <c r="BD217" s="1588"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493" t="str">
        <f>IF(AND(U217&lt;&gt;"（参考）令和７年度の移行予定",OR(V217="新加算Ⅰ",V217="新加算Ⅴ（１）",V217="新加算Ⅴ（２）",V217="新加算Ⅴ（５）",V217="新加算Ⅴ（７）",V217="新加算Ⅴ（10）")),IF(AO217="","未入力",IF(AO217="いずれも取得していない","要件を満たさない","")),"")</f>
        <v/>
      </c>
      <c r="BF217" s="1493" t="str">
        <f>G214</f>
        <v/>
      </c>
      <c r="BG217" s="1493"/>
      <c r="BH217" s="1493"/>
    </row>
    <row r="218" spans="1:60" ht="30" customHeight="1">
      <c r="A218" s="1241">
        <v>52</v>
      </c>
      <c r="B218" s="1272" t="str">
        <f>IF(基本情報入力シート!C105="","",基本情報入力シート!C105)</f>
        <v/>
      </c>
      <c r="C218" s="1261"/>
      <c r="D218" s="1261"/>
      <c r="E218" s="1261"/>
      <c r="F218" s="1262"/>
      <c r="G218" s="1266" t="str">
        <f>IF(基本情報入力シート!M105="","",基本情報入力シート!M105)</f>
        <v/>
      </c>
      <c r="H218" s="1266" t="str">
        <f>IF(基本情報入力シート!R105="","",基本情報入力シート!R105)</f>
        <v/>
      </c>
      <c r="I218" s="1266" t="str">
        <f>IF(基本情報入力シート!W105="","",基本情報入力シート!W105)</f>
        <v/>
      </c>
      <c r="J218" s="1372" t="str">
        <f>IF(基本情報入力シート!X105="","",基本情報入力シート!X105)</f>
        <v/>
      </c>
      <c r="K218" s="1266" t="str">
        <f>IF(基本情報入力シート!Y105="","",基本情報入力シート!Y105)</f>
        <v/>
      </c>
      <c r="L218" s="1451" t="str">
        <f>IF(基本情報入力シート!AB105="","",基本情報入力シート!AB105)</f>
        <v/>
      </c>
      <c r="M218" s="1453" t="str">
        <f>IF(基本情報入力シート!AC105="","",基本情報入力シート!AC105)</f>
        <v/>
      </c>
      <c r="N218" s="647" t="str">
        <f>IF('別紙様式2-2（４・５月分）'!Q167="","",'別紙様式2-2（４・５月分）'!Q167)</f>
        <v/>
      </c>
      <c r="O218" s="1366" t="str">
        <f>IF(SUM('別紙様式2-2（４・５月分）'!R167:R169)=0,"",SUM('別紙様式2-2（４・５月分）'!R167:R169))</f>
        <v/>
      </c>
      <c r="P218" s="1380" t="str">
        <f>IFERROR(VLOOKUP('別紙様式2-2（４・５月分）'!AR167,【参考】数式用!$AT$5:$AU$22,2,FALSE),"")</f>
        <v/>
      </c>
      <c r="Q218" s="1381"/>
      <c r="R218" s="1382"/>
      <c r="S218" s="1392" t="str">
        <f>IFERROR(VLOOKUP(K218,【参考】数式用!$A$5:$AB$27,MATCH(P218,【参考】数式用!$B$4:$AB$4,0)+1,0),"")</f>
        <v/>
      </c>
      <c r="T218" s="1413" t="s">
        <v>2258</v>
      </c>
      <c r="U218" s="1562" t="str">
        <f>IF('別紙様式2-3（６月以降分）'!U218="","",'別紙様式2-3（６月以降分）'!U218)</f>
        <v/>
      </c>
      <c r="V218" s="1457" t="str">
        <f>IFERROR(VLOOKUP(K218,【参考】数式用!$A$5:$AB$27,MATCH(U218,【参考】数式用!$B$4:$AB$4,0)+1,0),"")</f>
        <v/>
      </c>
      <c r="W218" s="1350" t="s">
        <v>19</v>
      </c>
      <c r="X218" s="1534">
        <f>'別紙様式2-3（６月以降分）'!X218</f>
        <v>6</v>
      </c>
      <c r="Y218" s="1354" t="s">
        <v>10</v>
      </c>
      <c r="Z218" s="1534">
        <f>'別紙様式2-3（６月以降分）'!Z218</f>
        <v>6</v>
      </c>
      <c r="AA218" s="1354" t="s">
        <v>45</v>
      </c>
      <c r="AB218" s="1534">
        <f>'別紙様式2-3（６月以降分）'!AB218</f>
        <v>7</v>
      </c>
      <c r="AC218" s="1354" t="s">
        <v>10</v>
      </c>
      <c r="AD218" s="1534">
        <f>'別紙様式2-3（６月以降分）'!AD218</f>
        <v>3</v>
      </c>
      <c r="AE218" s="1354" t="s">
        <v>2172</v>
      </c>
      <c r="AF218" s="1354" t="s">
        <v>24</v>
      </c>
      <c r="AG218" s="1354">
        <f>IF(X218&gt;=1,(AB218*12+AD218)-(X218*12+Z218)+1,"")</f>
        <v>10</v>
      </c>
      <c r="AH218" s="1360" t="s">
        <v>38</v>
      </c>
      <c r="AI218" s="1481" t="str">
        <f>'別紙様式2-3（６月以降分）'!AI218</f>
        <v/>
      </c>
      <c r="AJ218" s="1542" t="str">
        <f>'別紙様式2-3（６月以降分）'!AJ218</f>
        <v/>
      </c>
      <c r="AK218" s="1538">
        <f>'別紙様式2-3（６月以降分）'!AK218</f>
        <v>0</v>
      </c>
      <c r="AL218" s="1540" t="str">
        <f>IF('別紙様式2-3（６月以降分）'!AL218="","",'別紙様式2-3（６月以降分）'!AL218)</f>
        <v/>
      </c>
      <c r="AM218" s="1571">
        <f>'別紙様式2-3（６月以降分）'!AM218</f>
        <v>0</v>
      </c>
      <c r="AN218" s="1573" t="str">
        <f>IF('別紙様式2-3（６月以降分）'!AN218="","",'別紙様式2-3（６月以降分）'!AN218)</f>
        <v/>
      </c>
      <c r="AO218" s="1403" t="str">
        <f>IF('別紙様式2-3（６月以降分）'!AO218="","",'別紙様式2-3（６月以降分）'!AO218)</f>
        <v/>
      </c>
      <c r="AP218" s="1502" t="str">
        <f>IF('別紙様式2-3（６月以降分）'!AP218="","",'別紙様式2-3（６月以降分）'!AP218)</f>
        <v/>
      </c>
      <c r="AQ218" s="1403" t="str">
        <f>IF('別紙様式2-3（６月以降分）'!AQ218="","",'別紙様式2-3（６月以降分）'!AQ218)</f>
        <v/>
      </c>
      <c r="AR218" s="1583" t="str">
        <f>IF('別紙様式2-3（６月以降分）'!AR218="","",'別紙様式2-3（６月以降分）'!AR218)</f>
        <v/>
      </c>
      <c r="AS218" s="1536" t="str">
        <f>IF('別紙様式2-3（６月以降分）'!AS218="","",'別紙様式2-3（６月以降分）'!AS218)</f>
        <v/>
      </c>
      <c r="AT218" s="667" t="str">
        <f t="shared" ref="AT218" si="247">IF(AV220="","",IF(V220&lt;V218,"！加算の要件上は問題ありませんが、令和６年度当初の新加算の加算率と比較して、移行後の加算率が下がる計画になっています。",""))</f>
        <v/>
      </c>
      <c r="AU218" s="674"/>
      <c r="AV218" s="1233"/>
      <c r="AW218" s="652" t="str">
        <f>IF('別紙様式2-2（４・５月分）'!O167="","",'別紙様式2-2（４・５月分）'!O167)</f>
        <v/>
      </c>
      <c r="AX218" s="1507" t="str">
        <f>IF(SUM('別紙様式2-2（４・５月分）'!P167:P169)=0,"",SUM('別紙様式2-2（４・５月分）'!P167:P169))</f>
        <v/>
      </c>
      <c r="AY218" s="1589" t="str">
        <f>IFERROR(VLOOKUP(K218,【参考】数式用!$AJ$2:$AK$24,2,FALSE),"")</f>
        <v/>
      </c>
      <c r="AZ218" s="584"/>
      <c r="BE218" s="428"/>
      <c r="BF218" s="1493" t="str">
        <f>G218</f>
        <v/>
      </c>
      <c r="BG218" s="1493"/>
      <c r="BH218" s="1493"/>
    </row>
    <row r="219" spans="1:60" ht="15" customHeight="1">
      <c r="A219" s="1226"/>
      <c r="B219" s="1272"/>
      <c r="C219" s="1261"/>
      <c r="D219" s="1261"/>
      <c r="E219" s="1261"/>
      <c r="F219" s="1262"/>
      <c r="G219" s="1266"/>
      <c r="H219" s="1266"/>
      <c r="I219" s="1266"/>
      <c r="J219" s="1372"/>
      <c r="K219" s="1266"/>
      <c r="L219" s="1451"/>
      <c r="M219" s="1453"/>
      <c r="N219" s="1370" t="str">
        <f>IF('別紙様式2-2（４・５月分）'!Q168="","",'別紙様式2-2（４・５月分）'!Q168)</f>
        <v/>
      </c>
      <c r="O219" s="1367"/>
      <c r="P219" s="1383"/>
      <c r="Q219" s="1384"/>
      <c r="R219" s="1385"/>
      <c r="S219" s="1393"/>
      <c r="T219" s="1414"/>
      <c r="U219" s="1563"/>
      <c r="V219" s="1458"/>
      <c r="W219" s="1351"/>
      <c r="X219" s="1535"/>
      <c r="Y219" s="1355"/>
      <c r="Z219" s="1535"/>
      <c r="AA219" s="1355"/>
      <c r="AB219" s="1535"/>
      <c r="AC219" s="1355"/>
      <c r="AD219" s="1535"/>
      <c r="AE219" s="1355"/>
      <c r="AF219" s="1355"/>
      <c r="AG219" s="1355"/>
      <c r="AH219" s="1361"/>
      <c r="AI219" s="1482"/>
      <c r="AJ219" s="1543"/>
      <c r="AK219" s="1539"/>
      <c r="AL219" s="1541"/>
      <c r="AM219" s="1572"/>
      <c r="AN219" s="1574"/>
      <c r="AO219" s="1404"/>
      <c r="AP219" s="1533"/>
      <c r="AQ219" s="1404"/>
      <c r="AR219" s="1584"/>
      <c r="AS219" s="1537"/>
      <c r="AT219" s="1532" t="str">
        <f t="shared" ref="AT219" si="248">IF(AV220="","",IF(OR(AB220="",AB220&lt;&gt;7,AD220="",AD220&lt;&gt;3),"！算定期間の終わりが令和７年３月になっていません。年度内の廃止予定等がなければ、算定対象月を令和７年３月にしてください。",""))</f>
        <v/>
      </c>
      <c r="AU219" s="674"/>
      <c r="AV219" s="1493"/>
      <c r="AW219" s="1518" t="str">
        <f>IF('別紙様式2-2（４・５月分）'!O168="","",'別紙様式2-2（４・５月分）'!O168)</f>
        <v/>
      </c>
      <c r="AX219" s="1507"/>
      <c r="AY219" s="1589"/>
      <c r="AZ219" s="521"/>
      <c r="BE219" s="428"/>
      <c r="BF219" s="1493" t="str">
        <f>G218</f>
        <v/>
      </c>
      <c r="BG219" s="1493"/>
      <c r="BH219" s="1493"/>
    </row>
    <row r="220" spans="1:60" ht="15" customHeight="1">
      <c r="A220" s="1240"/>
      <c r="B220" s="1272"/>
      <c r="C220" s="1261"/>
      <c r="D220" s="1261"/>
      <c r="E220" s="1261"/>
      <c r="F220" s="1262"/>
      <c r="G220" s="1266"/>
      <c r="H220" s="1266"/>
      <c r="I220" s="1266"/>
      <c r="J220" s="1372"/>
      <c r="K220" s="1266"/>
      <c r="L220" s="1451"/>
      <c r="M220" s="1453"/>
      <c r="N220" s="1371"/>
      <c r="O220" s="1368"/>
      <c r="P220" s="1390" t="s">
        <v>2179</v>
      </c>
      <c r="Q220" s="1504" t="str">
        <f>IFERROR(VLOOKUP('別紙様式2-2（４・５月分）'!AR167,【参考】数式用!$AT$5:$AV$22,3,FALSE),"")</f>
        <v/>
      </c>
      <c r="R220" s="1388" t="s">
        <v>2190</v>
      </c>
      <c r="S220" s="1394" t="str">
        <f>IFERROR(VLOOKUP(K218,【参考】数式用!$A$5:$AB$27,MATCH(Q220,【参考】数式用!$B$4:$AB$4,0)+1,0),"")</f>
        <v/>
      </c>
      <c r="T220" s="1459" t="s">
        <v>2267</v>
      </c>
      <c r="U220" s="1569"/>
      <c r="V220" s="1463" t="str">
        <f>IFERROR(VLOOKUP(K218,【参考】数式用!$A$5:$AB$27,MATCH(U220,【参考】数式用!$B$4:$AB$4,0)+1,0),"")</f>
        <v/>
      </c>
      <c r="W220" s="1465" t="s">
        <v>19</v>
      </c>
      <c r="X220" s="1564"/>
      <c r="Y220" s="1407" t="s">
        <v>10</v>
      </c>
      <c r="Z220" s="1564"/>
      <c r="AA220" s="1407" t="s">
        <v>45</v>
      </c>
      <c r="AB220" s="1564"/>
      <c r="AC220" s="1407" t="s">
        <v>10</v>
      </c>
      <c r="AD220" s="1564"/>
      <c r="AE220" s="1407" t="s">
        <v>2172</v>
      </c>
      <c r="AF220" s="1407" t="s">
        <v>24</v>
      </c>
      <c r="AG220" s="1407" t="str">
        <f>IF(X220&gt;=1,(AB220*12+AD220)-(X220*12+Z220)+1,"")</f>
        <v/>
      </c>
      <c r="AH220" s="1409" t="s">
        <v>38</v>
      </c>
      <c r="AI220" s="1411" t="str">
        <f t="shared" ref="AI220" si="249">IFERROR(ROUNDDOWN(ROUND(L218*V220,0)*M218,0)*AG220,"")</f>
        <v/>
      </c>
      <c r="AJ220" s="1577" t="str">
        <f>IFERROR(ROUNDDOWN(ROUND((L218*(V220-AX218)),0)*M218,0)*AG220,"")</f>
        <v/>
      </c>
      <c r="AK220" s="1494" t="str">
        <f>IFERROR(ROUNDDOWN(ROUNDDOWN(ROUND(L218*VLOOKUP(K218,【参考】数式用!$A$5:$AB$27,MATCH("新加算Ⅳ",【参考】数式用!$B$4:$AB$4,0)+1,0),0)*M218,0)*AG220*0.5,0),"")</f>
        <v/>
      </c>
      <c r="AL220" s="1579"/>
      <c r="AM220" s="1585" t="str">
        <f>IFERROR(IF('別紙様式2-2（４・５月分）'!Q169="ベア加算","", IF(OR(U220="新加算Ⅰ",U220="新加算Ⅱ",U220="新加算Ⅲ",U220="新加算Ⅳ"),ROUNDDOWN(ROUND(L218*VLOOKUP(K218,【参考】数式用!$A$5:$I$27,MATCH("ベア加算",【参考】数式用!$B$4:$I$4,0)+1,0),0)*M218,0)*AG220,"")),"")</f>
        <v/>
      </c>
      <c r="AN220" s="1548"/>
      <c r="AO220" s="1554"/>
      <c r="AP220" s="1552"/>
      <c r="AQ220" s="1554"/>
      <c r="AR220" s="1556"/>
      <c r="AS220" s="1558"/>
      <c r="AT220" s="1532"/>
      <c r="AU220" s="542"/>
      <c r="AV220" s="1493" t="str">
        <f t="shared" ref="AV220" si="250">IF(OR(AB218&lt;&gt;7,AD218&lt;&gt;3),"V列に色付け","")</f>
        <v/>
      </c>
      <c r="AW220" s="1518"/>
      <c r="AX220" s="1507"/>
      <c r="AY220" s="671"/>
      <c r="AZ220" s="1321" t="str">
        <f>IF(AM220&lt;&gt;"",IF(AN220="○","入力済","未入力"),"")</f>
        <v/>
      </c>
      <c r="BA220" s="1321"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321" t="str">
        <f>IF(OR(U220="新加算Ⅴ（７）",U220="新加算Ⅴ（９）",U220="新加算Ⅴ（10）",U220="新加算Ⅴ（12）",U220="新加算Ⅴ（13）",U220="新加算Ⅴ（14）"),IF(OR(AP220="○",AP220="令和６年度中に満たす"),"入力済","未入力"),"")</f>
        <v/>
      </c>
      <c r="BC220" s="1321" t="str">
        <f>IF(OR(U220="新加算Ⅰ",U220="新加算Ⅱ",U220="新加算Ⅲ",U220="新加算Ⅴ（１）",U220="新加算Ⅴ（３）",U220="新加算Ⅴ（８）"),IF(OR(AQ220="○",AQ220="令和６年度中に満たす"),"入力済","未入力"),"")</f>
        <v/>
      </c>
      <c r="BD220" s="1588"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493" t="str">
        <f>IF(OR(U220="新加算Ⅰ",U220="新加算Ⅴ（１）",U220="新加算Ⅴ（２）",U220="新加算Ⅴ（５）",U220="新加算Ⅴ（７）",U220="新加算Ⅴ（10）"),IF(AS220="","未入力","入力済"),"")</f>
        <v/>
      </c>
      <c r="BF220" s="1493" t="str">
        <f>G218</f>
        <v/>
      </c>
      <c r="BG220" s="1493"/>
      <c r="BH220" s="1493"/>
    </row>
    <row r="221" spans="1:60" ht="30" customHeight="1" thickBot="1">
      <c r="A221" s="1227"/>
      <c r="B221" s="1376"/>
      <c r="C221" s="1377"/>
      <c r="D221" s="1377"/>
      <c r="E221" s="1377"/>
      <c r="F221" s="1378"/>
      <c r="G221" s="1267"/>
      <c r="H221" s="1267"/>
      <c r="I221" s="1267"/>
      <c r="J221" s="1373"/>
      <c r="K221" s="1267"/>
      <c r="L221" s="1452"/>
      <c r="M221" s="1454"/>
      <c r="N221" s="650" t="str">
        <f>IF('別紙様式2-2（４・５月分）'!Q169="","",'別紙様式2-2（４・５月分）'!Q169)</f>
        <v/>
      </c>
      <c r="O221" s="1369"/>
      <c r="P221" s="1391"/>
      <c r="Q221" s="1505"/>
      <c r="R221" s="1389"/>
      <c r="S221" s="1395"/>
      <c r="T221" s="1460"/>
      <c r="U221" s="1570"/>
      <c r="V221" s="1464"/>
      <c r="W221" s="1466"/>
      <c r="X221" s="1565"/>
      <c r="Y221" s="1408"/>
      <c r="Z221" s="1565"/>
      <c r="AA221" s="1408"/>
      <c r="AB221" s="1565"/>
      <c r="AC221" s="1408"/>
      <c r="AD221" s="1565"/>
      <c r="AE221" s="1408"/>
      <c r="AF221" s="1408"/>
      <c r="AG221" s="1408"/>
      <c r="AH221" s="1410"/>
      <c r="AI221" s="1412"/>
      <c r="AJ221" s="1578"/>
      <c r="AK221" s="1495"/>
      <c r="AL221" s="1580"/>
      <c r="AM221" s="1586"/>
      <c r="AN221" s="1549"/>
      <c r="AO221" s="1555"/>
      <c r="AP221" s="1553"/>
      <c r="AQ221" s="1555"/>
      <c r="AR221" s="1557"/>
      <c r="AS221" s="1559"/>
      <c r="AT221" s="672" t="str">
        <f t="shared" ref="AT221" si="251">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42"/>
      <c r="AV221" s="1493"/>
      <c r="AW221" s="652" t="str">
        <f>IF('別紙様式2-2（４・５月分）'!O169="","",'別紙様式2-2（４・５月分）'!O169)</f>
        <v/>
      </c>
      <c r="AX221" s="1507"/>
      <c r="AY221" s="673"/>
      <c r="AZ221" s="1321" t="str">
        <f>IF(OR(U221="新加算Ⅰ",U221="新加算Ⅱ",U221="新加算Ⅲ",U221="新加算Ⅳ",U221="新加算Ⅴ（１）",U221="新加算Ⅴ（２）",U221="新加算Ⅴ（３）",U221="新加算ⅠⅤ（４）",U221="新加算Ⅴ（５）",U221="新加算Ⅴ（６）",U221="新加算Ⅴ（８）",U221="新加算Ⅴ（11）"),IF(AJ221="○","","未入力"),"")</f>
        <v/>
      </c>
      <c r="BA221" s="1321" t="str">
        <f>IF(OR(V221="新加算Ⅰ",V221="新加算Ⅱ",V221="新加算Ⅲ",V221="新加算Ⅳ",V221="新加算Ⅴ（１）",V221="新加算Ⅴ（２）",V221="新加算Ⅴ（３）",V221="新加算ⅠⅤ（４）",V221="新加算Ⅴ（５）",V221="新加算Ⅴ（６）",V221="新加算Ⅴ（８）",V221="新加算Ⅴ（11）"),IF(AK221="○","","未入力"),"")</f>
        <v/>
      </c>
      <c r="BB221" s="1321" t="str">
        <f>IF(OR(V221="新加算Ⅴ（７）",V221="新加算Ⅴ（９）",V221="新加算Ⅴ（10）",V221="新加算Ⅴ（12）",V221="新加算Ⅴ（13）",V221="新加算Ⅴ（14）"),IF(AL221="○","","未入力"),"")</f>
        <v/>
      </c>
      <c r="BC221" s="1321" t="str">
        <f>IF(OR(V221="新加算Ⅰ",V221="新加算Ⅱ",V221="新加算Ⅲ",V221="新加算Ⅴ（１）",V221="新加算Ⅴ（３）",V221="新加算Ⅴ（８）"),IF(AM221="○","","未入力"),"")</f>
        <v/>
      </c>
      <c r="BD221" s="1588"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493" t="str">
        <f>IF(AND(U221&lt;&gt;"（参考）令和７年度の移行予定",OR(V221="新加算Ⅰ",V221="新加算Ⅴ（１）",V221="新加算Ⅴ（２）",V221="新加算Ⅴ（５）",V221="新加算Ⅴ（７）",V221="新加算Ⅴ（10）")),IF(AO221="","未入力",IF(AO221="いずれも取得していない","要件を満たさない","")),"")</f>
        <v/>
      </c>
      <c r="BF221" s="1493" t="str">
        <f>G218</f>
        <v/>
      </c>
      <c r="BG221" s="1493"/>
      <c r="BH221" s="1493"/>
    </row>
    <row r="222" spans="1:60" ht="30" customHeight="1">
      <c r="A222" s="1225">
        <v>53</v>
      </c>
      <c r="B222" s="1271" t="str">
        <f>IF(基本情報入力シート!C106="","",基本情報入力シート!C106)</f>
        <v/>
      </c>
      <c r="C222" s="1259"/>
      <c r="D222" s="1259"/>
      <c r="E222" s="1259"/>
      <c r="F222" s="1260"/>
      <c r="G222" s="1265" t="str">
        <f>IF(基本情報入力シート!M106="","",基本情報入力シート!M106)</f>
        <v/>
      </c>
      <c r="H222" s="1265" t="str">
        <f>IF(基本情報入力シート!R106="","",基本情報入力シート!R106)</f>
        <v/>
      </c>
      <c r="I222" s="1265" t="str">
        <f>IF(基本情報入力シート!W106="","",基本情報入力シート!W106)</f>
        <v/>
      </c>
      <c r="J222" s="1379" t="str">
        <f>IF(基本情報入力シート!X106="","",基本情報入力シート!X106)</f>
        <v/>
      </c>
      <c r="K222" s="1265" t="str">
        <f>IF(基本情報入力シート!Y106="","",基本情報入力シート!Y106)</f>
        <v/>
      </c>
      <c r="L222" s="1450" t="str">
        <f>IF(基本情報入力シート!AB106="","",基本情報入力シート!AB106)</f>
        <v/>
      </c>
      <c r="M222" s="1447" t="str">
        <f>IF(基本情報入力シート!AC106="","",基本情報入力シート!AC106)</f>
        <v/>
      </c>
      <c r="N222" s="647" t="str">
        <f>IF('別紙様式2-2（４・５月分）'!Q170="","",'別紙様式2-2（４・５月分）'!Q170)</f>
        <v/>
      </c>
      <c r="O222" s="1366" t="str">
        <f>IF(SUM('別紙様式2-2（４・５月分）'!R170:R172)=0,"",SUM('別紙様式2-2（４・５月分）'!R170:R172))</f>
        <v/>
      </c>
      <c r="P222" s="1380" t="str">
        <f>IFERROR(VLOOKUP('別紙様式2-2（４・５月分）'!AR170,【参考】数式用!$AT$5:$AU$22,2,FALSE),"")</f>
        <v/>
      </c>
      <c r="Q222" s="1381"/>
      <c r="R222" s="1382"/>
      <c r="S222" s="1392" t="str">
        <f>IFERROR(VLOOKUP(K222,【参考】数式用!$A$5:$AB$27,MATCH(P222,【参考】数式用!$B$4:$AB$4,0)+1,0),"")</f>
        <v/>
      </c>
      <c r="T222" s="1413" t="s">
        <v>2258</v>
      </c>
      <c r="U222" s="1562" t="str">
        <f>IF('別紙様式2-3（６月以降分）'!U222="","",'別紙様式2-3（６月以降分）'!U222)</f>
        <v/>
      </c>
      <c r="V222" s="1457" t="str">
        <f>IFERROR(VLOOKUP(K222,【参考】数式用!$A$5:$AB$27,MATCH(U222,【参考】数式用!$B$4:$AB$4,0)+1,0),"")</f>
        <v/>
      </c>
      <c r="W222" s="1350" t="s">
        <v>19</v>
      </c>
      <c r="X222" s="1534">
        <f>'別紙様式2-3（６月以降分）'!X222</f>
        <v>6</v>
      </c>
      <c r="Y222" s="1354" t="s">
        <v>10</v>
      </c>
      <c r="Z222" s="1534">
        <f>'別紙様式2-3（６月以降分）'!Z222</f>
        <v>6</v>
      </c>
      <c r="AA222" s="1354" t="s">
        <v>45</v>
      </c>
      <c r="AB222" s="1534">
        <f>'別紙様式2-3（６月以降分）'!AB222</f>
        <v>7</v>
      </c>
      <c r="AC222" s="1354" t="s">
        <v>10</v>
      </c>
      <c r="AD222" s="1534">
        <f>'別紙様式2-3（６月以降分）'!AD222</f>
        <v>3</v>
      </c>
      <c r="AE222" s="1354" t="s">
        <v>2172</v>
      </c>
      <c r="AF222" s="1354" t="s">
        <v>24</v>
      </c>
      <c r="AG222" s="1354">
        <f>IF(X222&gt;=1,(AB222*12+AD222)-(X222*12+Z222)+1,"")</f>
        <v>10</v>
      </c>
      <c r="AH222" s="1360" t="s">
        <v>38</v>
      </c>
      <c r="AI222" s="1481" t="str">
        <f>'別紙様式2-3（６月以降分）'!AI222</f>
        <v/>
      </c>
      <c r="AJ222" s="1542" t="str">
        <f>'別紙様式2-3（６月以降分）'!AJ222</f>
        <v/>
      </c>
      <c r="AK222" s="1538">
        <f>'別紙様式2-3（６月以降分）'!AK222</f>
        <v>0</v>
      </c>
      <c r="AL222" s="1540" t="str">
        <f>IF('別紙様式2-3（６月以降分）'!AL222="","",'別紙様式2-3（６月以降分）'!AL222)</f>
        <v/>
      </c>
      <c r="AM222" s="1571">
        <f>'別紙様式2-3（６月以降分）'!AM222</f>
        <v>0</v>
      </c>
      <c r="AN222" s="1573" t="str">
        <f>IF('別紙様式2-3（６月以降分）'!AN222="","",'別紙様式2-3（６月以降分）'!AN222)</f>
        <v/>
      </c>
      <c r="AO222" s="1403" t="str">
        <f>IF('別紙様式2-3（６月以降分）'!AO222="","",'別紙様式2-3（６月以降分）'!AO222)</f>
        <v/>
      </c>
      <c r="AP222" s="1502" t="str">
        <f>IF('別紙様式2-3（６月以降分）'!AP222="","",'別紙様式2-3（６月以降分）'!AP222)</f>
        <v/>
      </c>
      <c r="AQ222" s="1403" t="str">
        <f>IF('別紙様式2-3（６月以降分）'!AQ222="","",'別紙様式2-3（６月以降分）'!AQ222)</f>
        <v/>
      </c>
      <c r="AR222" s="1583" t="str">
        <f>IF('別紙様式2-3（６月以降分）'!AR222="","",'別紙様式2-3（６月以降分）'!AR222)</f>
        <v/>
      </c>
      <c r="AS222" s="1536" t="str">
        <f>IF('別紙様式2-3（６月以降分）'!AS222="","",'別紙様式2-3（６月以降分）'!AS222)</f>
        <v/>
      </c>
      <c r="AT222" s="667" t="str">
        <f t="shared" ref="AT222" si="252">IF(AV224="","",IF(V224&lt;V222,"！加算の要件上は問題ありませんが、令和６年度当初の新加算の加算率と比較して、移行後の加算率が下がる計画になっています。",""))</f>
        <v/>
      </c>
      <c r="AU222" s="674"/>
      <c r="AV222" s="1233"/>
      <c r="AW222" s="652" t="str">
        <f>IF('別紙様式2-2（４・５月分）'!O170="","",'別紙様式2-2（４・５月分）'!O170)</f>
        <v/>
      </c>
      <c r="AX222" s="1507" t="str">
        <f>IF(SUM('別紙様式2-2（４・５月分）'!P170:P172)=0,"",SUM('別紙様式2-2（４・５月分）'!P170:P172))</f>
        <v/>
      </c>
      <c r="AY222" s="1590" t="str">
        <f>IFERROR(VLOOKUP(K222,【参考】数式用!$AJ$2:$AK$24,2,FALSE),"")</f>
        <v/>
      </c>
      <c r="AZ222" s="584"/>
      <c r="BE222" s="428"/>
      <c r="BF222" s="1493" t="str">
        <f>G222</f>
        <v/>
      </c>
      <c r="BG222" s="1493"/>
      <c r="BH222" s="1493"/>
    </row>
    <row r="223" spans="1:60" ht="15" customHeight="1">
      <c r="A223" s="1226"/>
      <c r="B223" s="1272"/>
      <c r="C223" s="1261"/>
      <c r="D223" s="1261"/>
      <c r="E223" s="1261"/>
      <c r="F223" s="1262"/>
      <c r="G223" s="1266"/>
      <c r="H223" s="1266"/>
      <c r="I223" s="1266"/>
      <c r="J223" s="1372"/>
      <c r="K223" s="1266"/>
      <c r="L223" s="1451"/>
      <c r="M223" s="1448"/>
      <c r="N223" s="1370" t="str">
        <f>IF('別紙様式2-2（４・５月分）'!Q171="","",'別紙様式2-2（４・５月分）'!Q171)</f>
        <v/>
      </c>
      <c r="O223" s="1367"/>
      <c r="P223" s="1383"/>
      <c r="Q223" s="1384"/>
      <c r="R223" s="1385"/>
      <c r="S223" s="1393"/>
      <c r="T223" s="1414"/>
      <c r="U223" s="1563"/>
      <c r="V223" s="1458"/>
      <c r="W223" s="1351"/>
      <c r="X223" s="1535"/>
      <c r="Y223" s="1355"/>
      <c r="Z223" s="1535"/>
      <c r="AA223" s="1355"/>
      <c r="AB223" s="1535"/>
      <c r="AC223" s="1355"/>
      <c r="AD223" s="1535"/>
      <c r="AE223" s="1355"/>
      <c r="AF223" s="1355"/>
      <c r="AG223" s="1355"/>
      <c r="AH223" s="1361"/>
      <c r="AI223" s="1482"/>
      <c r="AJ223" s="1543"/>
      <c r="AK223" s="1539"/>
      <c r="AL223" s="1541"/>
      <c r="AM223" s="1572"/>
      <c r="AN223" s="1574"/>
      <c r="AO223" s="1404"/>
      <c r="AP223" s="1533"/>
      <c r="AQ223" s="1404"/>
      <c r="AR223" s="1584"/>
      <c r="AS223" s="1537"/>
      <c r="AT223" s="1532" t="str">
        <f t="shared" ref="AT223" si="253">IF(AV224="","",IF(OR(AB224="",AB224&lt;&gt;7,AD224="",AD224&lt;&gt;3),"！算定期間の終わりが令和７年３月になっていません。年度内の廃止予定等がなければ、算定対象月を令和７年３月にしてください。",""))</f>
        <v/>
      </c>
      <c r="AU223" s="674"/>
      <c r="AV223" s="1493"/>
      <c r="AW223" s="1518" t="str">
        <f>IF('別紙様式2-2（４・５月分）'!O171="","",'別紙様式2-2（４・５月分）'!O171)</f>
        <v/>
      </c>
      <c r="AX223" s="1507"/>
      <c r="AY223" s="1589"/>
      <c r="AZ223" s="521"/>
      <c r="BE223" s="428"/>
      <c r="BF223" s="1493" t="str">
        <f>G222</f>
        <v/>
      </c>
      <c r="BG223" s="1493"/>
      <c r="BH223" s="1493"/>
    </row>
    <row r="224" spans="1:60" ht="15" customHeight="1">
      <c r="A224" s="1240"/>
      <c r="B224" s="1272"/>
      <c r="C224" s="1261"/>
      <c r="D224" s="1261"/>
      <c r="E224" s="1261"/>
      <c r="F224" s="1262"/>
      <c r="G224" s="1266"/>
      <c r="H224" s="1266"/>
      <c r="I224" s="1266"/>
      <c r="J224" s="1372"/>
      <c r="K224" s="1266"/>
      <c r="L224" s="1451"/>
      <c r="M224" s="1448"/>
      <c r="N224" s="1371"/>
      <c r="O224" s="1368"/>
      <c r="P224" s="1390" t="s">
        <v>2179</v>
      </c>
      <c r="Q224" s="1504" t="str">
        <f>IFERROR(VLOOKUP('別紙様式2-2（４・５月分）'!AR170,【参考】数式用!$AT$5:$AV$22,3,FALSE),"")</f>
        <v/>
      </c>
      <c r="R224" s="1388" t="s">
        <v>2190</v>
      </c>
      <c r="S224" s="1396" t="str">
        <f>IFERROR(VLOOKUP(K222,【参考】数式用!$A$5:$AB$27,MATCH(Q224,【参考】数式用!$B$4:$AB$4,0)+1,0),"")</f>
        <v/>
      </c>
      <c r="T224" s="1459" t="s">
        <v>2267</v>
      </c>
      <c r="U224" s="1569"/>
      <c r="V224" s="1463" t="str">
        <f>IFERROR(VLOOKUP(K222,【参考】数式用!$A$5:$AB$27,MATCH(U224,【参考】数式用!$B$4:$AB$4,0)+1,0),"")</f>
        <v/>
      </c>
      <c r="W224" s="1465" t="s">
        <v>19</v>
      </c>
      <c r="X224" s="1564"/>
      <c r="Y224" s="1407" t="s">
        <v>10</v>
      </c>
      <c r="Z224" s="1564"/>
      <c r="AA224" s="1407" t="s">
        <v>45</v>
      </c>
      <c r="AB224" s="1564"/>
      <c r="AC224" s="1407" t="s">
        <v>10</v>
      </c>
      <c r="AD224" s="1564"/>
      <c r="AE224" s="1407" t="s">
        <v>2172</v>
      </c>
      <c r="AF224" s="1407" t="s">
        <v>24</v>
      </c>
      <c r="AG224" s="1407" t="str">
        <f>IF(X224&gt;=1,(AB224*12+AD224)-(X224*12+Z224)+1,"")</f>
        <v/>
      </c>
      <c r="AH224" s="1409" t="s">
        <v>38</v>
      </c>
      <c r="AI224" s="1411" t="str">
        <f t="shared" ref="AI224" si="254">IFERROR(ROUNDDOWN(ROUND(L222*V224,0)*M222,0)*AG224,"")</f>
        <v/>
      </c>
      <c r="AJ224" s="1577" t="str">
        <f>IFERROR(ROUNDDOWN(ROUND((L222*(V224-AX222)),0)*M222,0)*AG224,"")</f>
        <v/>
      </c>
      <c r="AK224" s="1494" t="str">
        <f>IFERROR(ROUNDDOWN(ROUNDDOWN(ROUND(L222*VLOOKUP(K222,【参考】数式用!$A$5:$AB$27,MATCH("新加算Ⅳ",【参考】数式用!$B$4:$AB$4,0)+1,0),0)*M222,0)*AG224*0.5,0),"")</f>
        <v/>
      </c>
      <c r="AL224" s="1579"/>
      <c r="AM224" s="1585" t="str">
        <f>IFERROR(IF('別紙様式2-2（４・５月分）'!Q172="ベア加算","", IF(OR(U224="新加算Ⅰ",U224="新加算Ⅱ",U224="新加算Ⅲ",U224="新加算Ⅳ"),ROUNDDOWN(ROUND(L222*VLOOKUP(K222,【参考】数式用!$A$5:$I$27,MATCH("ベア加算",【参考】数式用!$B$4:$I$4,0)+1,0),0)*M222,0)*AG224,"")),"")</f>
        <v/>
      </c>
      <c r="AN224" s="1548"/>
      <c r="AO224" s="1554"/>
      <c r="AP224" s="1552"/>
      <c r="AQ224" s="1554"/>
      <c r="AR224" s="1556"/>
      <c r="AS224" s="1558"/>
      <c r="AT224" s="1532"/>
      <c r="AU224" s="542"/>
      <c r="AV224" s="1493" t="str">
        <f t="shared" ref="AV224" si="255">IF(OR(AB222&lt;&gt;7,AD222&lt;&gt;3),"V列に色付け","")</f>
        <v/>
      </c>
      <c r="AW224" s="1518"/>
      <c r="AX224" s="1507"/>
      <c r="AY224" s="671"/>
      <c r="AZ224" s="1321" t="str">
        <f>IF(AM224&lt;&gt;"",IF(AN224="○","入力済","未入力"),"")</f>
        <v/>
      </c>
      <c r="BA224" s="1321"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321" t="str">
        <f>IF(OR(U224="新加算Ⅴ（７）",U224="新加算Ⅴ（９）",U224="新加算Ⅴ（10）",U224="新加算Ⅴ（12）",U224="新加算Ⅴ（13）",U224="新加算Ⅴ（14）"),IF(OR(AP224="○",AP224="令和６年度中に満たす"),"入力済","未入力"),"")</f>
        <v/>
      </c>
      <c r="BC224" s="1321" t="str">
        <f>IF(OR(U224="新加算Ⅰ",U224="新加算Ⅱ",U224="新加算Ⅲ",U224="新加算Ⅴ（１）",U224="新加算Ⅴ（３）",U224="新加算Ⅴ（８）"),IF(OR(AQ224="○",AQ224="令和６年度中に満たす"),"入力済","未入力"),"")</f>
        <v/>
      </c>
      <c r="BD224" s="1588"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493" t="str">
        <f>IF(OR(U224="新加算Ⅰ",U224="新加算Ⅴ（１）",U224="新加算Ⅴ（２）",U224="新加算Ⅴ（５）",U224="新加算Ⅴ（７）",U224="新加算Ⅴ（10）"),IF(AS224="","未入力","入力済"),"")</f>
        <v/>
      </c>
      <c r="BF224" s="1493" t="str">
        <f>G222</f>
        <v/>
      </c>
      <c r="BG224" s="1493"/>
      <c r="BH224" s="1493"/>
    </row>
    <row r="225" spans="1:60" ht="30" customHeight="1" thickBot="1">
      <c r="A225" s="1227"/>
      <c r="B225" s="1376"/>
      <c r="C225" s="1377"/>
      <c r="D225" s="1377"/>
      <c r="E225" s="1377"/>
      <c r="F225" s="1378"/>
      <c r="G225" s="1267"/>
      <c r="H225" s="1267"/>
      <c r="I225" s="1267"/>
      <c r="J225" s="1373"/>
      <c r="K225" s="1267"/>
      <c r="L225" s="1452"/>
      <c r="M225" s="1449"/>
      <c r="N225" s="650" t="str">
        <f>IF('別紙様式2-2（４・５月分）'!Q172="","",'別紙様式2-2（４・５月分）'!Q172)</f>
        <v/>
      </c>
      <c r="O225" s="1369"/>
      <c r="P225" s="1391"/>
      <c r="Q225" s="1505"/>
      <c r="R225" s="1389"/>
      <c r="S225" s="1395"/>
      <c r="T225" s="1460"/>
      <c r="U225" s="1570"/>
      <c r="V225" s="1464"/>
      <c r="W225" s="1466"/>
      <c r="X225" s="1565"/>
      <c r="Y225" s="1408"/>
      <c r="Z225" s="1565"/>
      <c r="AA225" s="1408"/>
      <c r="AB225" s="1565"/>
      <c r="AC225" s="1408"/>
      <c r="AD225" s="1565"/>
      <c r="AE225" s="1408"/>
      <c r="AF225" s="1408"/>
      <c r="AG225" s="1408"/>
      <c r="AH225" s="1410"/>
      <c r="AI225" s="1412"/>
      <c r="AJ225" s="1578"/>
      <c r="AK225" s="1495"/>
      <c r="AL225" s="1580"/>
      <c r="AM225" s="1586"/>
      <c r="AN225" s="1549"/>
      <c r="AO225" s="1555"/>
      <c r="AP225" s="1553"/>
      <c r="AQ225" s="1555"/>
      <c r="AR225" s="1557"/>
      <c r="AS225" s="1559"/>
      <c r="AT225" s="672" t="str">
        <f t="shared" ref="AT225" si="256">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42"/>
      <c r="AV225" s="1493"/>
      <c r="AW225" s="652" t="str">
        <f>IF('別紙様式2-2（４・５月分）'!O172="","",'別紙様式2-2（４・５月分）'!O172)</f>
        <v/>
      </c>
      <c r="AX225" s="1507"/>
      <c r="AY225" s="673"/>
      <c r="AZ225" s="1321" t="str">
        <f>IF(OR(U225="新加算Ⅰ",U225="新加算Ⅱ",U225="新加算Ⅲ",U225="新加算Ⅳ",U225="新加算Ⅴ（１）",U225="新加算Ⅴ（２）",U225="新加算Ⅴ（３）",U225="新加算ⅠⅤ（４）",U225="新加算Ⅴ（５）",U225="新加算Ⅴ（６）",U225="新加算Ⅴ（８）",U225="新加算Ⅴ（11）"),IF(AJ225="○","","未入力"),"")</f>
        <v/>
      </c>
      <c r="BA225" s="1321" t="str">
        <f>IF(OR(V225="新加算Ⅰ",V225="新加算Ⅱ",V225="新加算Ⅲ",V225="新加算Ⅳ",V225="新加算Ⅴ（１）",V225="新加算Ⅴ（２）",V225="新加算Ⅴ（３）",V225="新加算ⅠⅤ（４）",V225="新加算Ⅴ（５）",V225="新加算Ⅴ（６）",V225="新加算Ⅴ（８）",V225="新加算Ⅴ（11）"),IF(AK225="○","","未入力"),"")</f>
        <v/>
      </c>
      <c r="BB225" s="1321" t="str">
        <f>IF(OR(V225="新加算Ⅴ（７）",V225="新加算Ⅴ（９）",V225="新加算Ⅴ（10）",V225="新加算Ⅴ（12）",V225="新加算Ⅴ（13）",V225="新加算Ⅴ（14）"),IF(AL225="○","","未入力"),"")</f>
        <v/>
      </c>
      <c r="BC225" s="1321" t="str">
        <f>IF(OR(V225="新加算Ⅰ",V225="新加算Ⅱ",V225="新加算Ⅲ",V225="新加算Ⅴ（１）",V225="新加算Ⅴ（３）",V225="新加算Ⅴ（８）"),IF(AM225="○","","未入力"),"")</f>
        <v/>
      </c>
      <c r="BD225" s="1588"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493" t="str">
        <f>IF(AND(U225&lt;&gt;"（参考）令和７年度の移行予定",OR(V225="新加算Ⅰ",V225="新加算Ⅴ（１）",V225="新加算Ⅴ（２）",V225="新加算Ⅴ（５）",V225="新加算Ⅴ（７）",V225="新加算Ⅴ（10）")),IF(AO225="","未入力",IF(AO225="いずれも取得していない","要件を満たさない","")),"")</f>
        <v/>
      </c>
      <c r="BF225" s="1493" t="str">
        <f>G222</f>
        <v/>
      </c>
      <c r="BG225" s="1493"/>
      <c r="BH225" s="1493"/>
    </row>
    <row r="226" spans="1:60" ht="30" customHeight="1">
      <c r="A226" s="1241">
        <v>54</v>
      </c>
      <c r="B226" s="1272" t="str">
        <f>IF(基本情報入力シート!C107="","",基本情報入力シート!C107)</f>
        <v/>
      </c>
      <c r="C226" s="1261"/>
      <c r="D226" s="1261"/>
      <c r="E226" s="1261"/>
      <c r="F226" s="1262"/>
      <c r="G226" s="1266" t="str">
        <f>IF(基本情報入力シート!M107="","",基本情報入力シート!M107)</f>
        <v/>
      </c>
      <c r="H226" s="1266" t="str">
        <f>IF(基本情報入力シート!R107="","",基本情報入力シート!R107)</f>
        <v/>
      </c>
      <c r="I226" s="1266" t="str">
        <f>IF(基本情報入力シート!W107="","",基本情報入力シート!W107)</f>
        <v/>
      </c>
      <c r="J226" s="1372" t="str">
        <f>IF(基本情報入力シート!X107="","",基本情報入力シート!X107)</f>
        <v/>
      </c>
      <c r="K226" s="1266" t="str">
        <f>IF(基本情報入力シート!Y107="","",基本情報入力シート!Y107)</f>
        <v/>
      </c>
      <c r="L226" s="1451" t="str">
        <f>IF(基本情報入力シート!AB107="","",基本情報入力シート!AB107)</f>
        <v/>
      </c>
      <c r="M226" s="1453" t="str">
        <f>IF(基本情報入力シート!AC107="","",基本情報入力シート!AC107)</f>
        <v/>
      </c>
      <c r="N226" s="647" t="str">
        <f>IF('別紙様式2-2（４・５月分）'!Q173="","",'別紙様式2-2（４・５月分）'!Q173)</f>
        <v/>
      </c>
      <c r="O226" s="1366" t="str">
        <f>IF(SUM('別紙様式2-2（４・５月分）'!R173:R175)=0,"",SUM('別紙様式2-2（４・５月分）'!R173:R175))</f>
        <v/>
      </c>
      <c r="P226" s="1380" t="str">
        <f>IFERROR(VLOOKUP('別紙様式2-2（４・５月分）'!AR173,【参考】数式用!$AT$5:$AU$22,2,FALSE),"")</f>
        <v/>
      </c>
      <c r="Q226" s="1381"/>
      <c r="R226" s="1382"/>
      <c r="S226" s="1392" t="str">
        <f>IFERROR(VLOOKUP(K226,【参考】数式用!$A$5:$AB$27,MATCH(P226,【参考】数式用!$B$4:$AB$4,0)+1,0),"")</f>
        <v/>
      </c>
      <c r="T226" s="1413" t="s">
        <v>2258</v>
      </c>
      <c r="U226" s="1562" t="str">
        <f>IF('別紙様式2-3（６月以降分）'!U226="","",'別紙様式2-3（６月以降分）'!U226)</f>
        <v/>
      </c>
      <c r="V226" s="1457" t="str">
        <f>IFERROR(VLOOKUP(K226,【参考】数式用!$A$5:$AB$27,MATCH(U226,【参考】数式用!$B$4:$AB$4,0)+1,0),"")</f>
        <v/>
      </c>
      <c r="W226" s="1350" t="s">
        <v>19</v>
      </c>
      <c r="X226" s="1534">
        <f>'別紙様式2-3（６月以降分）'!X226</f>
        <v>6</v>
      </c>
      <c r="Y226" s="1354" t="s">
        <v>10</v>
      </c>
      <c r="Z226" s="1534">
        <f>'別紙様式2-3（６月以降分）'!Z226</f>
        <v>6</v>
      </c>
      <c r="AA226" s="1354" t="s">
        <v>45</v>
      </c>
      <c r="AB226" s="1534">
        <f>'別紙様式2-3（６月以降分）'!AB226</f>
        <v>7</v>
      </c>
      <c r="AC226" s="1354" t="s">
        <v>10</v>
      </c>
      <c r="AD226" s="1534">
        <f>'別紙様式2-3（６月以降分）'!AD226</f>
        <v>3</v>
      </c>
      <c r="AE226" s="1354" t="s">
        <v>2172</v>
      </c>
      <c r="AF226" s="1354" t="s">
        <v>24</v>
      </c>
      <c r="AG226" s="1354">
        <f>IF(X226&gt;=1,(AB226*12+AD226)-(X226*12+Z226)+1,"")</f>
        <v>10</v>
      </c>
      <c r="AH226" s="1360" t="s">
        <v>38</v>
      </c>
      <c r="AI226" s="1481" t="str">
        <f>'別紙様式2-3（６月以降分）'!AI226</f>
        <v/>
      </c>
      <c r="AJ226" s="1542" t="str">
        <f>'別紙様式2-3（６月以降分）'!AJ226</f>
        <v/>
      </c>
      <c r="AK226" s="1538">
        <f>'別紙様式2-3（６月以降分）'!AK226</f>
        <v>0</v>
      </c>
      <c r="AL226" s="1540" t="str">
        <f>IF('別紙様式2-3（６月以降分）'!AL226="","",'別紙様式2-3（６月以降分）'!AL226)</f>
        <v/>
      </c>
      <c r="AM226" s="1571">
        <f>'別紙様式2-3（６月以降分）'!AM226</f>
        <v>0</v>
      </c>
      <c r="AN226" s="1573" t="str">
        <f>IF('別紙様式2-3（６月以降分）'!AN226="","",'別紙様式2-3（６月以降分）'!AN226)</f>
        <v/>
      </c>
      <c r="AO226" s="1403" t="str">
        <f>IF('別紙様式2-3（６月以降分）'!AO226="","",'別紙様式2-3（６月以降分）'!AO226)</f>
        <v/>
      </c>
      <c r="AP226" s="1502" t="str">
        <f>IF('別紙様式2-3（６月以降分）'!AP226="","",'別紙様式2-3（６月以降分）'!AP226)</f>
        <v/>
      </c>
      <c r="AQ226" s="1403" t="str">
        <f>IF('別紙様式2-3（６月以降分）'!AQ226="","",'別紙様式2-3（６月以降分）'!AQ226)</f>
        <v/>
      </c>
      <c r="AR226" s="1583" t="str">
        <f>IF('別紙様式2-3（６月以降分）'!AR226="","",'別紙様式2-3（６月以降分）'!AR226)</f>
        <v/>
      </c>
      <c r="AS226" s="1536" t="str">
        <f>IF('別紙様式2-3（６月以降分）'!AS226="","",'別紙様式2-3（６月以降分）'!AS226)</f>
        <v/>
      </c>
      <c r="AT226" s="667" t="str">
        <f t="shared" ref="AT226" si="257">IF(AV228="","",IF(V228&lt;V226,"！加算の要件上は問題ありませんが、令和６年度当初の新加算の加算率と比較して、移行後の加算率が下がる計画になっています。",""))</f>
        <v/>
      </c>
      <c r="AU226" s="674"/>
      <c r="AV226" s="1233"/>
      <c r="AW226" s="652" t="str">
        <f>IF('別紙様式2-2（４・５月分）'!O173="","",'別紙様式2-2（４・５月分）'!O173)</f>
        <v/>
      </c>
      <c r="AX226" s="1507" t="str">
        <f>IF(SUM('別紙様式2-2（４・５月分）'!P173:P175)=0,"",SUM('別紙様式2-2（４・５月分）'!P173:P175))</f>
        <v/>
      </c>
      <c r="AY226" s="1589" t="str">
        <f>IFERROR(VLOOKUP(K226,【参考】数式用!$AJ$2:$AK$24,2,FALSE),"")</f>
        <v/>
      </c>
      <c r="AZ226" s="584"/>
      <c r="BE226" s="428"/>
      <c r="BF226" s="1493" t="str">
        <f>G226</f>
        <v/>
      </c>
      <c r="BG226" s="1493"/>
      <c r="BH226" s="1493"/>
    </row>
    <row r="227" spans="1:60" ht="15" customHeight="1">
      <c r="A227" s="1226"/>
      <c r="B227" s="1272"/>
      <c r="C227" s="1261"/>
      <c r="D227" s="1261"/>
      <c r="E227" s="1261"/>
      <c r="F227" s="1262"/>
      <c r="G227" s="1266"/>
      <c r="H227" s="1266"/>
      <c r="I227" s="1266"/>
      <c r="J227" s="1372"/>
      <c r="K227" s="1266"/>
      <c r="L227" s="1451"/>
      <c r="M227" s="1453"/>
      <c r="N227" s="1370" t="str">
        <f>IF('別紙様式2-2（４・５月分）'!Q174="","",'別紙様式2-2（４・５月分）'!Q174)</f>
        <v/>
      </c>
      <c r="O227" s="1367"/>
      <c r="P227" s="1383"/>
      <c r="Q227" s="1384"/>
      <c r="R227" s="1385"/>
      <c r="S227" s="1393"/>
      <c r="T227" s="1414"/>
      <c r="U227" s="1563"/>
      <c r="V227" s="1458"/>
      <c r="W227" s="1351"/>
      <c r="X227" s="1535"/>
      <c r="Y227" s="1355"/>
      <c r="Z227" s="1535"/>
      <c r="AA227" s="1355"/>
      <c r="AB227" s="1535"/>
      <c r="AC227" s="1355"/>
      <c r="AD227" s="1535"/>
      <c r="AE227" s="1355"/>
      <c r="AF227" s="1355"/>
      <c r="AG227" s="1355"/>
      <c r="AH227" s="1361"/>
      <c r="AI227" s="1482"/>
      <c r="AJ227" s="1543"/>
      <c r="AK227" s="1539"/>
      <c r="AL227" s="1541"/>
      <c r="AM227" s="1572"/>
      <c r="AN227" s="1574"/>
      <c r="AO227" s="1404"/>
      <c r="AP227" s="1533"/>
      <c r="AQ227" s="1404"/>
      <c r="AR227" s="1584"/>
      <c r="AS227" s="1537"/>
      <c r="AT227" s="1532" t="str">
        <f t="shared" ref="AT227" si="258">IF(AV228="","",IF(OR(AB228="",AB228&lt;&gt;7,AD228="",AD228&lt;&gt;3),"！算定期間の終わりが令和７年３月になっていません。年度内の廃止予定等がなければ、算定対象月を令和７年３月にしてください。",""))</f>
        <v/>
      </c>
      <c r="AU227" s="674"/>
      <c r="AV227" s="1493"/>
      <c r="AW227" s="1518" t="str">
        <f>IF('別紙様式2-2（４・５月分）'!O174="","",'別紙様式2-2（４・５月分）'!O174)</f>
        <v/>
      </c>
      <c r="AX227" s="1507"/>
      <c r="AY227" s="1589"/>
      <c r="AZ227" s="521"/>
      <c r="BE227" s="428"/>
      <c r="BF227" s="1493" t="str">
        <f>G226</f>
        <v/>
      </c>
      <c r="BG227" s="1493"/>
      <c r="BH227" s="1493"/>
    </row>
    <row r="228" spans="1:60" ht="15" customHeight="1">
      <c r="A228" s="1240"/>
      <c r="B228" s="1272"/>
      <c r="C228" s="1261"/>
      <c r="D228" s="1261"/>
      <c r="E228" s="1261"/>
      <c r="F228" s="1262"/>
      <c r="G228" s="1266"/>
      <c r="H228" s="1266"/>
      <c r="I228" s="1266"/>
      <c r="J228" s="1372"/>
      <c r="K228" s="1266"/>
      <c r="L228" s="1451"/>
      <c r="M228" s="1453"/>
      <c r="N228" s="1371"/>
      <c r="O228" s="1368"/>
      <c r="P228" s="1390" t="s">
        <v>2179</v>
      </c>
      <c r="Q228" s="1504" t="str">
        <f>IFERROR(VLOOKUP('別紙様式2-2（４・５月分）'!AR173,【参考】数式用!$AT$5:$AV$22,3,FALSE),"")</f>
        <v/>
      </c>
      <c r="R228" s="1388" t="s">
        <v>2190</v>
      </c>
      <c r="S228" s="1394" t="str">
        <f>IFERROR(VLOOKUP(K226,【参考】数式用!$A$5:$AB$27,MATCH(Q228,【参考】数式用!$B$4:$AB$4,0)+1,0),"")</f>
        <v/>
      </c>
      <c r="T228" s="1459" t="s">
        <v>2267</v>
      </c>
      <c r="U228" s="1569"/>
      <c r="V228" s="1463" t="str">
        <f>IFERROR(VLOOKUP(K226,【参考】数式用!$A$5:$AB$27,MATCH(U228,【参考】数式用!$B$4:$AB$4,0)+1,0),"")</f>
        <v/>
      </c>
      <c r="W228" s="1465" t="s">
        <v>19</v>
      </c>
      <c r="X228" s="1564"/>
      <c r="Y228" s="1407" t="s">
        <v>10</v>
      </c>
      <c r="Z228" s="1564"/>
      <c r="AA228" s="1407" t="s">
        <v>45</v>
      </c>
      <c r="AB228" s="1564"/>
      <c r="AC228" s="1407" t="s">
        <v>10</v>
      </c>
      <c r="AD228" s="1564"/>
      <c r="AE228" s="1407" t="s">
        <v>2172</v>
      </c>
      <c r="AF228" s="1407" t="s">
        <v>24</v>
      </c>
      <c r="AG228" s="1407" t="str">
        <f>IF(X228&gt;=1,(AB228*12+AD228)-(X228*12+Z228)+1,"")</f>
        <v/>
      </c>
      <c r="AH228" s="1409" t="s">
        <v>38</v>
      </c>
      <c r="AI228" s="1411" t="str">
        <f t="shared" ref="AI228" si="259">IFERROR(ROUNDDOWN(ROUND(L226*V228,0)*M226,0)*AG228,"")</f>
        <v/>
      </c>
      <c r="AJ228" s="1577" t="str">
        <f>IFERROR(ROUNDDOWN(ROUND((L226*(V228-AX226)),0)*M226,0)*AG228,"")</f>
        <v/>
      </c>
      <c r="AK228" s="1494" t="str">
        <f>IFERROR(ROUNDDOWN(ROUNDDOWN(ROUND(L226*VLOOKUP(K226,【参考】数式用!$A$5:$AB$27,MATCH("新加算Ⅳ",【参考】数式用!$B$4:$AB$4,0)+1,0),0)*M226,0)*AG228*0.5,0),"")</f>
        <v/>
      </c>
      <c r="AL228" s="1579"/>
      <c r="AM228" s="1585" t="str">
        <f>IFERROR(IF('別紙様式2-2（４・５月分）'!Q175="ベア加算","", IF(OR(U228="新加算Ⅰ",U228="新加算Ⅱ",U228="新加算Ⅲ",U228="新加算Ⅳ"),ROUNDDOWN(ROUND(L226*VLOOKUP(K226,【参考】数式用!$A$5:$I$27,MATCH("ベア加算",【参考】数式用!$B$4:$I$4,0)+1,0),0)*M226,0)*AG228,"")),"")</f>
        <v/>
      </c>
      <c r="AN228" s="1548"/>
      <c r="AO228" s="1554"/>
      <c r="AP228" s="1552"/>
      <c r="AQ228" s="1554"/>
      <c r="AR228" s="1556"/>
      <c r="AS228" s="1558"/>
      <c r="AT228" s="1532"/>
      <c r="AU228" s="542"/>
      <c r="AV228" s="1493" t="str">
        <f t="shared" ref="AV228" si="260">IF(OR(AB226&lt;&gt;7,AD226&lt;&gt;3),"V列に色付け","")</f>
        <v/>
      </c>
      <c r="AW228" s="1518"/>
      <c r="AX228" s="1507"/>
      <c r="AY228" s="671"/>
      <c r="AZ228" s="1321" t="str">
        <f>IF(AM228&lt;&gt;"",IF(AN228="○","入力済","未入力"),"")</f>
        <v/>
      </c>
      <c r="BA228" s="1321"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321" t="str">
        <f>IF(OR(U228="新加算Ⅴ（７）",U228="新加算Ⅴ（９）",U228="新加算Ⅴ（10）",U228="新加算Ⅴ（12）",U228="新加算Ⅴ（13）",U228="新加算Ⅴ（14）"),IF(OR(AP228="○",AP228="令和６年度中に満たす"),"入力済","未入力"),"")</f>
        <v/>
      </c>
      <c r="BC228" s="1321" t="str">
        <f>IF(OR(U228="新加算Ⅰ",U228="新加算Ⅱ",U228="新加算Ⅲ",U228="新加算Ⅴ（１）",U228="新加算Ⅴ（３）",U228="新加算Ⅴ（８）"),IF(OR(AQ228="○",AQ228="令和６年度中に満たす"),"入力済","未入力"),"")</f>
        <v/>
      </c>
      <c r="BD228" s="1588"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493" t="str">
        <f>IF(OR(U228="新加算Ⅰ",U228="新加算Ⅴ（１）",U228="新加算Ⅴ（２）",U228="新加算Ⅴ（５）",U228="新加算Ⅴ（７）",U228="新加算Ⅴ（10）"),IF(AS228="","未入力","入力済"),"")</f>
        <v/>
      </c>
      <c r="BF228" s="1493" t="str">
        <f>G226</f>
        <v/>
      </c>
      <c r="BG228" s="1493"/>
      <c r="BH228" s="1493"/>
    </row>
    <row r="229" spans="1:60" ht="30" customHeight="1" thickBot="1">
      <c r="A229" s="1227"/>
      <c r="B229" s="1376"/>
      <c r="C229" s="1377"/>
      <c r="D229" s="1377"/>
      <c r="E229" s="1377"/>
      <c r="F229" s="1378"/>
      <c r="G229" s="1267"/>
      <c r="H229" s="1267"/>
      <c r="I229" s="1267"/>
      <c r="J229" s="1373"/>
      <c r="K229" s="1267"/>
      <c r="L229" s="1452"/>
      <c r="M229" s="1454"/>
      <c r="N229" s="650" t="str">
        <f>IF('別紙様式2-2（４・５月分）'!Q175="","",'別紙様式2-2（４・５月分）'!Q175)</f>
        <v/>
      </c>
      <c r="O229" s="1369"/>
      <c r="P229" s="1391"/>
      <c r="Q229" s="1505"/>
      <c r="R229" s="1389"/>
      <c r="S229" s="1395"/>
      <c r="T229" s="1460"/>
      <c r="U229" s="1570"/>
      <c r="V229" s="1464"/>
      <c r="W229" s="1466"/>
      <c r="X229" s="1565"/>
      <c r="Y229" s="1408"/>
      <c r="Z229" s="1565"/>
      <c r="AA229" s="1408"/>
      <c r="AB229" s="1565"/>
      <c r="AC229" s="1408"/>
      <c r="AD229" s="1565"/>
      <c r="AE229" s="1408"/>
      <c r="AF229" s="1408"/>
      <c r="AG229" s="1408"/>
      <c r="AH229" s="1410"/>
      <c r="AI229" s="1412"/>
      <c r="AJ229" s="1578"/>
      <c r="AK229" s="1495"/>
      <c r="AL229" s="1580"/>
      <c r="AM229" s="1586"/>
      <c r="AN229" s="1549"/>
      <c r="AO229" s="1555"/>
      <c r="AP229" s="1553"/>
      <c r="AQ229" s="1555"/>
      <c r="AR229" s="1557"/>
      <c r="AS229" s="1559"/>
      <c r="AT229" s="672" t="str">
        <f t="shared" ref="AT229" si="261">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42"/>
      <c r="AV229" s="1493"/>
      <c r="AW229" s="652" t="str">
        <f>IF('別紙様式2-2（４・５月分）'!O175="","",'別紙様式2-2（４・５月分）'!O175)</f>
        <v/>
      </c>
      <c r="AX229" s="1507"/>
      <c r="AY229" s="673"/>
      <c r="AZ229" s="1321" t="str">
        <f>IF(OR(U229="新加算Ⅰ",U229="新加算Ⅱ",U229="新加算Ⅲ",U229="新加算Ⅳ",U229="新加算Ⅴ（１）",U229="新加算Ⅴ（２）",U229="新加算Ⅴ（３）",U229="新加算ⅠⅤ（４）",U229="新加算Ⅴ（５）",U229="新加算Ⅴ（６）",U229="新加算Ⅴ（８）",U229="新加算Ⅴ（11）"),IF(AJ229="○","","未入力"),"")</f>
        <v/>
      </c>
      <c r="BA229" s="1321" t="str">
        <f>IF(OR(V229="新加算Ⅰ",V229="新加算Ⅱ",V229="新加算Ⅲ",V229="新加算Ⅳ",V229="新加算Ⅴ（１）",V229="新加算Ⅴ（２）",V229="新加算Ⅴ（３）",V229="新加算ⅠⅤ（４）",V229="新加算Ⅴ（５）",V229="新加算Ⅴ（６）",V229="新加算Ⅴ（８）",V229="新加算Ⅴ（11）"),IF(AK229="○","","未入力"),"")</f>
        <v/>
      </c>
      <c r="BB229" s="1321" t="str">
        <f>IF(OR(V229="新加算Ⅴ（７）",V229="新加算Ⅴ（９）",V229="新加算Ⅴ（10）",V229="新加算Ⅴ（12）",V229="新加算Ⅴ（13）",V229="新加算Ⅴ（14）"),IF(AL229="○","","未入力"),"")</f>
        <v/>
      </c>
      <c r="BC229" s="1321" t="str">
        <f>IF(OR(V229="新加算Ⅰ",V229="新加算Ⅱ",V229="新加算Ⅲ",V229="新加算Ⅴ（１）",V229="新加算Ⅴ（３）",V229="新加算Ⅴ（８）"),IF(AM229="○","","未入力"),"")</f>
        <v/>
      </c>
      <c r="BD229" s="1588"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493" t="str">
        <f>IF(AND(U229&lt;&gt;"（参考）令和７年度の移行予定",OR(V229="新加算Ⅰ",V229="新加算Ⅴ（１）",V229="新加算Ⅴ（２）",V229="新加算Ⅴ（５）",V229="新加算Ⅴ（７）",V229="新加算Ⅴ（10）")),IF(AO229="","未入力",IF(AO229="いずれも取得していない","要件を満たさない","")),"")</f>
        <v/>
      </c>
      <c r="BF229" s="1493" t="str">
        <f>G226</f>
        <v/>
      </c>
      <c r="BG229" s="1493"/>
      <c r="BH229" s="1493"/>
    </row>
    <row r="230" spans="1:60" ht="30" customHeight="1">
      <c r="A230" s="1225">
        <v>55</v>
      </c>
      <c r="B230" s="1271" t="str">
        <f>IF(基本情報入力シート!C108="","",基本情報入力シート!C108)</f>
        <v/>
      </c>
      <c r="C230" s="1259"/>
      <c r="D230" s="1259"/>
      <c r="E230" s="1259"/>
      <c r="F230" s="1260"/>
      <c r="G230" s="1265" t="str">
        <f>IF(基本情報入力シート!M108="","",基本情報入力シート!M108)</f>
        <v/>
      </c>
      <c r="H230" s="1265" t="str">
        <f>IF(基本情報入力シート!R108="","",基本情報入力シート!R108)</f>
        <v/>
      </c>
      <c r="I230" s="1265" t="str">
        <f>IF(基本情報入力シート!W108="","",基本情報入力シート!W108)</f>
        <v/>
      </c>
      <c r="J230" s="1379" t="str">
        <f>IF(基本情報入力シート!X108="","",基本情報入力シート!X108)</f>
        <v/>
      </c>
      <c r="K230" s="1265" t="str">
        <f>IF(基本情報入力シート!Y108="","",基本情報入力シート!Y108)</f>
        <v/>
      </c>
      <c r="L230" s="1450" t="str">
        <f>IF(基本情報入力シート!AB108="","",基本情報入力シート!AB108)</f>
        <v/>
      </c>
      <c r="M230" s="1447" t="str">
        <f>IF(基本情報入力シート!AC108="","",基本情報入力シート!AC108)</f>
        <v/>
      </c>
      <c r="N230" s="647" t="str">
        <f>IF('別紙様式2-2（４・５月分）'!Q176="","",'別紙様式2-2（４・５月分）'!Q176)</f>
        <v/>
      </c>
      <c r="O230" s="1366" t="str">
        <f>IF(SUM('別紙様式2-2（４・５月分）'!R176:R178)=0,"",SUM('別紙様式2-2（４・５月分）'!R176:R178))</f>
        <v/>
      </c>
      <c r="P230" s="1380" t="str">
        <f>IFERROR(VLOOKUP('別紙様式2-2（４・５月分）'!AR176,【参考】数式用!$AT$5:$AU$22,2,FALSE),"")</f>
        <v/>
      </c>
      <c r="Q230" s="1381"/>
      <c r="R230" s="1382"/>
      <c r="S230" s="1392" t="str">
        <f>IFERROR(VLOOKUP(K230,【参考】数式用!$A$5:$AB$27,MATCH(P230,【参考】数式用!$B$4:$AB$4,0)+1,0),"")</f>
        <v/>
      </c>
      <c r="T230" s="1413" t="s">
        <v>2258</v>
      </c>
      <c r="U230" s="1562" t="str">
        <f>IF('別紙様式2-3（６月以降分）'!U230="","",'別紙様式2-3（６月以降分）'!U230)</f>
        <v/>
      </c>
      <c r="V230" s="1457" t="str">
        <f>IFERROR(VLOOKUP(K230,【参考】数式用!$A$5:$AB$27,MATCH(U230,【参考】数式用!$B$4:$AB$4,0)+1,0),"")</f>
        <v/>
      </c>
      <c r="W230" s="1350" t="s">
        <v>19</v>
      </c>
      <c r="X230" s="1534">
        <f>'別紙様式2-3（６月以降分）'!X230</f>
        <v>6</v>
      </c>
      <c r="Y230" s="1354" t="s">
        <v>10</v>
      </c>
      <c r="Z230" s="1534">
        <f>'別紙様式2-3（６月以降分）'!Z230</f>
        <v>6</v>
      </c>
      <c r="AA230" s="1354" t="s">
        <v>45</v>
      </c>
      <c r="AB230" s="1534">
        <f>'別紙様式2-3（６月以降分）'!AB230</f>
        <v>7</v>
      </c>
      <c r="AC230" s="1354" t="s">
        <v>10</v>
      </c>
      <c r="AD230" s="1534">
        <f>'別紙様式2-3（６月以降分）'!AD230</f>
        <v>3</v>
      </c>
      <c r="AE230" s="1354" t="s">
        <v>2172</v>
      </c>
      <c r="AF230" s="1354" t="s">
        <v>24</v>
      </c>
      <c r="AG230" s="1354">
        <f>IF(X230&gt;=1,(AB230*12+AD230)-(X230*12+Z230)+1,"")</f>
        <v>10</v>
      </c>
      <c r="AH230" s="1360" t="s">
        <v>38</v>
      </c>
      <c r="AI230" s="1481" t="str">
        <f>'別紙様式2-3（６月以降分）'!AI230</f>
        <v/>
      </c>
      <c r="AJ230" s="1542" t="str">
        <f>'別紙様式2-3（６月以降分）'!AJ230</f>
        <v/>
      </c>
      <c r="AK230" s="1538">
        <f>'別紙様式2-3（６月以降分）'!AK230</f>
        <v>0</v>
      </c>
      <c r="AL230" s="1540" t="str">
        <f>IF('別紙様式2-3（６月以降分）'!AL230="","",'別紙様式2-3（６月以降分）'!AL230)</f>
        <v/>
      </c>
      <c r="AM230" s="1571">
        <f>'別紙様式2-3（６月以降分）'!AM230</f>
        <v>0</v>
      </c>
      <c r="AN230" s="1573" t="str">
        <f>IF('別紙様式2-3（６月以降分）'!AN230="","",'別紙様式2-3（６月以降分）'!AN230)</f>
        <v/>
      </c>
      <c r="AO230" s="1403" t="str">
        <f>IF('別紙様式2-3（６月以降分）'!AO230="","",'別紙様式2-3（６月以降分）'!AO230)</f>
        <v/>
      </c>
      <c r="AP230" s="1502" t="str">
        <f>IF('別紙様式2-3（６月以降分）'!AP230="","",'別紙様式2-3（６月以降分）'!AP230)</f>
        <v/>
      </c>
      <c r="AQ230" s="1403" t="str">
        <f>IF('別紙様式2-3（６月以降分）'!AQ230="","",'別紙様式2-3（６月以降分）'!AQ230)</f>
        <v/>
      </c>
      <c r="AR230" s="1583" t="str">
        <f>IF('別紙様式2-3（６月以降分）'!AR230="","",'別紙様式2-3（６月以降分）'!AR230)</f>
        <v/>
      </c>
      <c r="AS230" s="1536" t="str">
        <f>IF('別紙様式2-3（６月以降分）'!AS230="","",'別紙様式2-3（６月以降分）'!AS230)</f>
        <v/>
      </c>
      <c r="AT230" s="667" t="str">
        <f t="shared" ref="AT230" si="262">IF(AV232="","",IF(V232&lt;V230,"！加算の要件上は問題ありませんが、令和６年度当初の新加算の加算率と比較して、移行後の加算率が下がる計画になっています。",""))</f>
        <v/>
      </c>
      <c r="AU230" s="674"/>
      <c r="AV230" s="1233"/>
      <c r="AW230" s="652" t="str">
        <f>IF('別紙様式2-2（４・５月分）'!O176="","",'別紙様式2-2（４・５月分）'!O176)</f>
        <v/>
      </c>
      <c r="AX230" s="1507" t="str">
        <f>IF(SUM('別紙様式2-2（４・５月分）'!P176:P178)=0,"",SUM('別紙様式2-2（４・５月分）'!P176:P178))</f>
        <v/>
      </c>
      <c r="AY230" s="1590" t="str">
        <f>IFERROR(VLOOKUP(K230,【参考】数式用!$AJ$2:$AK$24,2,FALSE),"")</f>
        <v/>
      </c>
      <c r="AZ230" s="584"/>
      <c r="BE230" s="428"/>
      <c r="BF230" s="1493" t="str">
        <f>G230</f>
        <v/>
      </c>
      <c r="BG230" s="1493"/>
      <c r="BH230" s="1493"/>
    </row>
    <row r="231" spans="1:60" ht="15" customHeight="1">
      <c r="A231" s="1226"/>
      <c r="B231" s="1272"/>
      <c r="C231" s="1261"/>
      <c r="D231" s="1261"/>
      <c r="E231" s="1261"/>
      <c r="F231" s="1262"/>
      <c r="G231" s="1266"/>
      <c r="H231" s="1266"/>
      <c r="I231" s="1266"/>
      <c r="J231" s="1372"/>
      <c r="K231" s="1266"/>
      <c r="L231" s="1451"/>
      <c r="M231" s="1448"/>
      <c r="N231" s="1370" t="str">
        <f>IF('別紙様式2-2（４・５月分）'!Q177="","",'別紙様式2-2（４・５月分）'!Q177)</f>
        <v/>
      </c>
      <c r="O231" s="1367"/>
      <c r="P231" s="1383"/>
      <c r="Q231" s="1384"/>
      <c r="R231" s="1385"/>
      <c r="S231" s="1393"/>
      <c r="T231" s="1414"/>
      <c r="U231" s="1563"/>
      <c r="V231" s="1458"/>
      <c r="W231" s="1351"/>
      <c r="X231" s="1535"/>
      <c r="Y231" s="1355"/>
      <c r="Z231" s="1535"/>
      <c r="AA231" s="1355"/>
      <c r="AB231" s="1535"/>
      <c r="AC231" s="1355"/>
      <c r="AD231" s="1535"/>
      <c r="AE231" s="1355"/>
      <c r="AF231" s="1355"/>
      <c r="AG231" s="1355"/>
      <c r="AH231" s="1361"/>
      <c r="AI231" s="1482"/>
      <c r="AJ231" s="1543"/>
      <c r="AK231" s="1539"/>
      <c r="AL231" s="1541"/>
      <c r="AM231" s="1572"/>
      <c r="AN231" s="1574"/>
      <c r="AO231" s="1404"/>
      <c r="AP231" s="1533"/>
      <c r="AQ231" s="1404"/>
      <c r="AR231" s="1584"/>
      <c r="AS231" s="1537"/>
      <c r="AT231" s="1532" t="str">
        <f t="shared" ref="AT231" si="263">IF(AV232="","",IF(OR(AB232="",AB232&lt;&gt;7,AD232="",AD232&lt;&gt;3),"！算定期間の終わりが令和７年３月になっていません。年度内の廃止予定等がなければ、算定対象月を令和７年３月にしてください。",""))</f>
        <v/>
      </c>
      <c r="AU231" s="674"/>
      <c r="AV231" s="1493"/>
      <c r="AW231" s="1518" t="str">
        <f>IF('別紙様式2-2（４・５月分）'!O177="","",'別紙様式2-2（４・５月分）'!O177)</f>
        <v/>
      </c>
      <c r="AX231" s="1507"/>
      <c r="AY231" s="1589"/>
      <c r="AZ231" s="521"/>
      <c r="BE231" s="428"/>
      <c r="BF231" s="1493" t="str">
        <f>G230</f>
        <v/>
      </c>
      <c r="BG231" s="1493"/>
      <c r="BH231" s="1493"/>
    </row>
    <row r="232" spans="1:60" ht="15" customHeight="1">
      <c r="A232" s="1240"/>
      <c r="B232" s="1272"/>
      <c r="C232" s="1261"/>
      <c r="D232" s="1261"/>
      <c r="E232" s="1261"/>
      <c r="F232" s="1262"/>
      <c r="G232" s="1266"/>
      <c r="H232" s="1266"/>
      <c r="I232" s="1266"/>
      <c r="J232" s="1372"/>
      <c r="K232" s="1266"/>
      <c r="L232" s="1451"/>
      <c r="M232" s="1448"/>
      <c r="N232" s="1371"/>
      <c r="O232" s="1368"/>
      <c r="P232" s="1390" t="s">
        <v>2179</v>
      </c>
      <c r="Q232" s="1504" t="str">
        <f>IFERROR(VLOOKUP('別紙様式2-2（４・５月分）'!AR176,【参考】数式用!$AT$5:$AV$22,3,FALSE),"")</f>
        <v/>
      </c>
      <c r="R232" s="1388" t="s">
        <v>2190</v>
      </c>
      <c r="S232" s="1396" t="str">
        <f>IFERROR(VLOOKUP(K230,【参考】数式用!$A$5:$AB$27,MATCH(Q232,【参考】数式用!$B$4:$AB$4,0)+1,0),"")</f>
        <v/>
      </c>
      <c r="T232" s="1459" t="s">
        <v>2267</v>
      </c>
      <c r="U232" s="1569"/>
      <c r="V232" s="1463" t="str">
        <f>IFERROR(VLOOKUP(K230,【参考】数式用!$A$5:$AB$27,MATCH(U232,【参考】数式用!$B$4:$AB$4,0)+1,0),"")</f>
        <v/>
      </c>
      <c r="W232" s="1465" t="s">
        <v>19</v>
      </c>
      <c r="X232" s="1564"/>
      <c r="Y232" s="1407" t="s">
        <v>10</v>
      </c>
      <c r="Z232" s="1564"/>
      <c r="AA232" s="1407" t="s">
        <v>45</v>
      </c>
      <c r="AB232" s="1564"/>
      <c r="AC232" s="1407" t="s">
        <v>10</v>
      </c>
      <c r="AD232" s="1564"/>
      <c r="AE232" s="1407" t="s">
        <v>2172</v>
      </c>
      <c r="AF232" s="1407" t="s">
        <v>24</v>
      </c>
      <c r="AG232" s="1407" t="str">
        <f>IF(X232&gt;=1,(AB232*12+AD232)-(X232*12+Z232)+1,"")</f>
        <v/>
      </c>
      <c r="AH232" s="1409" t="s">
        <v>38</v>
      </c>
      <c r="AI232" s="1411" t="str">
        <f t="shared" ref="AI232" si="264">IFERROR(ROUNDDOWN(ROUND(L230*V232,0)*M230,0)*AG232,"")</f>
        <v/>
      </c>
      <c r="AJ232" s="1577" t="str">
        <f>IFERROR(ROUNDDOWN(ROUND((L230*(V232-AX230)),0)*M230,0)*AG232,"")</f>
        <v/>
      </c>
      <c r="AK232" s="1494" t="str">
        <f>IFERROR(ROUNDDOWN(ROUNDDOWN(ROUND(L230*VLOOKUP(K230,【参考】数式用!$A$5:$AB$27,MATCH("新加算Ⅳ",【参考】数式用!$B$4:$AB$4,0)+1,0),0)*M230,0)*AG232*0.5,0),"")</f>
        <v/>
      </c>
      <c r="AL232" s="1579"/>
      <c r="AM232" s="1585" t="str">
        <f>IFERROR(IF('別紙様式2-2（４・５月分）'!Q178="ベア加算","", IF(OR(U232="新加算Ⅰ",U232="新加算Ⅱ",U232="新加算Ⅲ",U232="新加算Ⅳ"),ROUNDDOWN(ROUND(L230*VLOOKUP(K230,【参考】数式用!$A$5:$I$27,MATCH("ベア加算",【参考】数式用!$B$4:$I$4,0)+1,0),0)*M230,0)*AG232,"")),"")</f>
        <v/>
      </c>
      <c r="AN232" s="1548"/>
      <c r="AO232" s="1554"/>
      <c r="AP232" s="1552"/>
      <c r="AQ232" s="1554"/>
      <c r="AR232" s="1556"/>
      <c r="AS232" s="1558"/>
      <c r="AT232" s="1532"/>
      <c r="AU232" s="542"/>
      <c r="AV232" s="1493" t="str">
        <f t="shared" ref="AV232" si="265">IF(OR(AB230&lt;&gt;7,AD230&lt;&gt;3),"V列に色付け","")</f>
        <v/>
      </c>
      <c r="AW232" s="1518"/>
      <c r="AX232" s="1507"/>
      <c r="AY232" s="671"/>
      <c r="AZ232" s="1321" t="str">
        <f>IF(AM232&lt;&gt;"",IF(AN232="○","入力済","未入力"),"")</f>
        <v/>
      </c>
      <c r="BA232" s="1321"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321" t="str">
        <f>IF(OR(U232="新加算Ⅴ（７）",U232="新加算Ⅴ（９）",U232="新加算Ⅴ（10）",U232="新加算Ⅴ（12）",U232="新加算Ⅴ（13）",U232="新加算Ⅴ（14）"),IF(OR(AP232="○",AP232="令和６年度中に満たす"),"入力済","未入力"),"")</f>
        <v/>
      </c>
      <c r="BC232" s="1321" t="str">
        <f>IF(OR(U232="新加算Ⅰ",U232="新加算Ⅱ",U232="新加算Ⅲ",U232="新加算Ⅴ（１）",U232="新加算Ⅴ（３）",U232="新加算Ⅴ（８）"),IF(OR(AQ232="○",AQ232="令和６年度中に満たす"),"入力済","未入力"),"")</f>
        <v/>
      </c>
      <c r="BD232" s="1588"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493" t="str">
        <f>IF(OR(U232="新加算Ⅰ",U232="新加算Ⅴ（１）",U232="新加算Ⅴ（２）",U232="新加算Ⅴ（５）",U232="新加算Ⅴ（７）",U232="新加算Ⅴ（10）"),IF(AS232="","未入力","入力済"),"")</f>
        <v/>
      </c>
      <c r="BF232" s="1493" t="str">
        <f>G230</f>
        <v/>
      </c>
      <c r="BG232" s="1493"/>
      <c r="BH232" s="1493"/>
    </row>
    <row r="233" spans="1:60" ht="30" customHeight="1" thickBot="1">
      <c r="A233" s="1227"/>
      <c r="B233" s="1376"/>
      <c r="C233" s="1377"/>
      <c r="D233" s="1377"/>
      <c r="E233" s="1377"/>
      <c r="F233" s="1378"/>
      <c r="G233" s="1267"/>
      <c r="H233" s="1267"/>
      <c r="I233" s="1267"/>
      <c r="J233" s="1373"/>
      <c r="K233" s="1267"/>
      <c r="L233" s="1452"/>
      <c r="M233" s="1449"/>
      <c r="N233" s="650" t="str">
        <f>IF('別紙様式2-2（４・５月分）'!Q178="","",'別紙様式2-2（４・５月分）'!Q178)</f>
        <v/>
      </c>
      <c r="O233" s="1369"/>
      <c r="P233" s="1391"/>
      <c r="Q233" s="1505"/>
      <c r="R233" s="1389"/>
      <c r="S233" s="1395"/>
      <c r="T233" s="1460"/>
      <c r="U233" s="1570"/>
      <c r="V233" s="1464"/>
      <c r="W233" s="1466"/>
      <c r="X233" s="1565"/>
      <c r="Y233" s="1408"/>
      <c r="Z233" s="1565"/>
      <c r="AA233" s="1408"/>
      <c r="AB233" s="1565"/>
      <c r="AC233" s="1408"/>
      <c r="AD233" s="1565"/>
      <c r="AE233" s="1408"/>
      <c r="AF233" s="1408"/>
      <c r="AG233" s="1408"/>
      <c r="AH233" s="1410"/>
      <c r="AI233" s="1412"/>
      <c r="AJ233" s="1578"/>
      <c r="AK233" s="1495"/>
      <c r="AL233" s="1580"/>
      <c r="AM233" s="1586"/>
      <c r="AN233" s="1549"/>
      <c r="AO233" s="1555"/>
      <c r="AP233" s="1553"/>
      <c r="AQ233" s="1555"/>
      <c r="AR233" s="1557"/>
      <c r="AS233" s="1559"/>
      <c r="AT233" s="672" t="str">
        <f t="shared" ref="AT233" si="266">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42"/>
      <c r="AV233" s="1493"/>
      <c r="AW233" s="652" t="str">
        <f>IF('別紙様式2-2（４・５月分）'!O178="","",'別紙様式2-2（４・５月分）'!O178)</f>
        <v/>
      </c>
      <c r="AX233" s="1507"/>
      <c r="AY233" s="673"/>
      <c r="AZ233" s="1321" t="str">
        <f>IF(OR(U233="新加算Ⅰ",U233="新加算Ⅱ",U233="新加算Ⅲ",U233="新加算Ⅳ",U233="新加算Ⅴ（１）",U233="新加算Ⅴ（２）",U233="新加算Ⅴ（３）",U233="新加算ⅠⅤ（４）",U233="新加算Ⅴ（５）",U233="新加算Ⅴ（６）",U233="新加算Ⅴ（８）",U233="新加算Ⅴ（11）"),IF(AJ233="○","","未入力"),"")</f>
        <v/>
      </c>
      <c r="BA233" s="1321" t="str">
        <f>IF(OR(V233="新加算Ⅰ",V233="新加算Ⅱ",V233="新加算Ⅲ",V233="新加算Ⅳ",V233="新加算Ⅴ（１）",V233="新加算Ⅴ（２）",V233="新加算Ⅴ（３）",V233="新加算ⅠⅤ（４）",V233="新加算Ⅴ（５）",V233="新加算Ⅴ（６）",V233="新加算Ⅴ（８）",V233="新加算Ⅴ（11）"),IF(AK233="○","","未入力"),"")</f>
        <v/>
      </c>
      <c r="BB233" s="1321" t="str">
        <f>IF(OR(V233="新加算Ⅴ（７）",V233="新加算Ⅴ（９）",V233="新加算Ⅴ（10）",V233="新加算Ⅴ（12）",V233="新加算Ⅴ（13）",V233="新加算Ⅴ（14）"),IF(AL233="○","","未入力"),"")</f>
        <v/>
      </c>
      <c r="BC233" s="1321" t="str">
        <f>IF(OR(V233="新加算Ⅰ",V233="新加算Ⅱ",V233="新加算Ⅲ",V233="新加算Ⅴ（１）",V233="新加算Ⅴ（３）",V233="新加算Ⅴ（８）"),IF(AM233="○","","未入力"),"")</f>
        <v/>
      </c>
      <c r="BD233" s="1588"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493" t="str">
        <f>IF(AND(U233&lt;&gt;"（参考）令和７年度の移行予定",OR(V233="新加算Ⅰ",V233="新加算Ⅴ（１）",V233="新加算Ⅴ（２）",V233="新加算Ⅴ（５）",V233="新加算Ⅴ（７）",V233="新加算Ⅴ（10）")),IF(AO233="","未入力",IF(AO233="いずれも取得していない","要件を満たさない","")),"")</f>
        <v/>
      </c>
      <c r="BF233" s="1493" t="str">
        <f>G230</f>
        <v/>
      </c>
      <c r="BG233" s="1493"/>
      <c r="BH233" s="1493"/>
    </row>
    <row r="234" spans="1:60" ht="30" customHeight="1">
      <c r="A234" s="1241">
        <v>56</v>
      </c>
      <c r="B234" s="1272" t="str">
        <f>IF(基本情報入力シート!C109="","",基本情報入力シート!C109)</f>
        <v/>
      </c>
      <c r="C234" s="1261"/>
      <c r="D234" s="1261"/>
      <c r="E234" s="1261"/>
      <c r="F234" s="1262"/>
      <c r="G234" s="1266" t="str">
        <f>IF(基本情報入力シート!M109="","",基本情報入力シート!M109)</f>
        <v/>
      </c>
      <c r="H234" s="1266" t="str">
        <f>IF(基本情報入力シート!R109="","",基本情報入力シート!R109)</f>
        <v/>
      </c>
      <c r="I234" s="1266" t="str">
        <f>IF(基本情報入力シート!W109="","",基本情報入力シート!W109)</f>
        <v/>
      </c>
      <c r="J234" s="1372" t="str">
        <f>IF(基本情報入力シート!X109="","",基本情報入力シート!X109)</f>
        <v/>
      </c>
      <c r="K234" s="1266" t="str">
        <f>IF(基本情報入力シート!Y109="","",基本情報入力シート!Y109)</f>
        <v/>
      </c>
      <c r="L234" s="1451" t="str">
        <f>IF(基本情報入力シート!AB109="","",基本情報入力シート!AB109)</f>
        <v/>
      </c>
      <c r="M234" s="1453" t="str">
        <f>IF(基本情報入力シート!AC109="","",基本情報入力シート!AC109)</f>
        <v/>
      </c>
      <c r="N234" s="647" t="str">
        <f>IF('別紙様式2-2（４・５月分）'!Q179="","",'別紙様式2-2（４・５月分）'!Q179)</f>
        <v/>
      </c>
      <c r="O234" s="1366" t="str">
        <f>IF(SUM('別紙様式2-2（４・５月分）'!R179:R181)=0,"",SUM('別紙様式2-2（４・５月分）'!R179:R181))</f>
        <v/>
      </c>
      <c r="P234" s="1380" t="str">
        <f>IFERROR(VLOOKUP('別紙様式2-2（４・５月分）'!AR179,【参考】数式用!$AT$5:$AU$22,2,FALSE),"")</f>
        <v/>
      </c>
      <c r="Q234" s="1381"/>
      <c r="R234" s="1382"/>
      <c r="S234" s="1392" t="str">
        <f>IFERROR(VLOOKUP(K234,【参考】数式用!$A$5:$AB$27,MATCH(P234,【参考】数式用!$B$4:$AB$4,0)+1,0),"")</f>
        <v/>
      </c>
      <c r="T234" s="1413" t="s">
        <v>2258</v>
      </c>
      <c r="U234" s="1562" t="str">
        <f>IF('別紙様式2-3（６月以降分）'!U234="","",'別紙様式2-3（６月以降分）'!U234)</f>
        <v/>
      </c>
      <c r="V234" s="1457" t="str">
        <f>IFERROR(VLOOKUP(K234,【参考】数式用!$A$5:$AB$27,MATCH(U234,【参考】数式用!$B$4:$AB$4,0)+1,0),"")</f>
        <v/>
      </c>
      <c r="W234" s="1350" t="s">
        <v>19</v>
      </c>
      <c r="X234" s="1534">
        <f>'別紙様式2-3（６月以降分）'!X234</f>
        <v>6</v>
      </c>
      <c r="Y234" s="1354" t="s">
        <v>10</v>
      </c>
      <c r="Z234" s="1534">
        <f>'別紙様式2-3（６月以降分）'!Z234</f>
        <v>6</v>
      </c>
      <c r="AA234" s="1354" t="s">
        <v>45</v>
      </c>
      <c r="AB234" s="1534">
        <f>'別紙様式2-3（６月以降分）'!AB234</f>
        <v>7</v>
      </c>
      <c r="AC234" s="1354" t="s">
        <v>10</v>
      </c>
      <c r="AD234" s="1534">
        <f>'別紙様式2-3（６月以降分）'!AD234</f>
        <v>3</v>
      </c>
      <c r="AE234" s="1354" t="s">
        <v>2172</v>
      </c>
      <c r="AF234" s="1354" t="s">
        <v>24</v>
      </c>
      <c r="AG234" s="1354">
        <f>IF(X234&gt;=1,(AB234*12+AD234)-(X234*12+Z234)+1,"")</f>
        <v>10</v>
      </c>
      <c r="AH234" s="1360" t="s">
        <v>38</v>
      </c>
      <c r="AI234" s="1481" t="str">
        <f>'別紙様式2-3（６月以降分）'!AI234</f>
        <v/>
      </c>
      <c r="AJ234" s="1542" t="str">
        <f>'別紙様式2-3（６月以降分）'!AJ234</f>
        <v/>
      </c>
      <c r="AK234" s="1538">
        <f>'別紙様式2-3（６月以降分）'!AK234</f>
        <v>0</v>
      </c>
      <c r="AL234" s="1540" t="str">
        <f>IF('別紙様式2-3（６月以降分）'!AL234="","",'別紙様式2-3（６月以降分）'!AL234)</f>
        <v/>
      </c>
      <c r="AM234" s="1571">
        <f>'別紙様式2-3（６月以降分）'!AM234</f>
        <v>0</v>
      </c>
      <c r="AN234" s="1573" t="str">
        <f>IF('別紙様式2-3（６月以降分）'!AN234="","",'別紙様式2-3（６月以降分）'!AN234)</f>
        <v/>
      </c>
      <c r="AO234" s="1403" t="str">
        <f>IF('別紙様式2-3（６月以降分）'!AO234="","",'別紙様式2-3（６月以降分）'!AO234)</f>
        <v/>
      </c>
      <c r="AP234" s="1502" t="str">
        <f>IF('別紙様式2-3（６月以降分）'!AP234="","",'別紙様式2-3（６月以降分）'!AP234)</f>
        <v/>
      </c>
      <c r="AQ234" s="1403" t="str">
        <f>IF('別紙様式2-3（６月以降分）'!AQ234="","",'別紙様式2-3（６月以降分）'!AQ234)</f>
        <v/>
      </c>
      <c r="AR234" s="1583" t="str">
        <f>IF('別紙様式2-3（６月以降分）'!AR234="","",'別紙様式2-3（６月以降分）'!AR234)</f>
        <v/>
      </c>
      <c r="AS234" s="1536" t="str">
        <f>IF('別紙様式2-3（６月以降分）'!AS234="","",'別紙様式2-3（６月以降分）'!AS234)</f>
        <v/>
      </c>
      <c r="AT234" s="667" t="str">
        <f t="shared" ref="AT234" si="267">IF(AV236="","",IF(V236&lt;V234,"！加算の要件上は問題ありませんが、令和６年度当初の新加算の加算率と比較して、移行後の加算率が下がる計画になっています。",""))</f>
        <v/>
      </c>
      <c r="AU234" s="674"/>
      <c r="AV234" s="1233"/>
      <c r="AW234" s="652" t="str">
        <f>IF('別紙様式2-2（４・５月分）'!O179="","",'別紙様式2-2（４・５月分）'!O179)</f>
        <v/>
      </c>
      <c r="AX234" s="1507" t="str">
        <f>IF(SUM('別紙様式2-2（４・５月分）'!P179:P181)=0,"",SUM('別紙様式2-2（４・５月分）'!P179:P181))</f>
        <v/>
      </c>
      <c r="AY234" s="1589" t="str">
        <f>IFERROR(VLOOKUP(K234,【参考】数式用!$AJ$2:$AK$24,2,FALSE),"")</f>
        <v/>
      </c>
      <c r="AZ234" s="584"/>
      <c r="BE234" s="428"/>
      <c r="BF234" s="1493" t="str">
        <f>G234</f>
        <v/>
      </c>
      <c r="BG234" s="1493"/>
      <c r="BH234" s="1493"/>
    </row>
    <row r="235" spans="1:60" ht="15" customHeight="1">
      <c r="A235" s="1226"/>
      <c r="B235" s="1272"/>
      <c r="C235" s="1261"/>
      <c r="D235" s="1261"/>
      <c r="E235" s="1261"/>
      <c r="F235" s="1262"/>
      <c r="G235" s="1266"/>
      <c r="H235" s="1266"/>
      <c r="I235" s="1266"/>
      <c r="J235" s="1372"/>
      <c r="K235" s="1266"/>
      <c r="L235" s="1451"/>
      <c r="M235" s="1453"/>
      <c r="N235" s="1370" t="str">
        <f>IF('別紙様式2-2（４・５月分）'!Q180="","",'別紙様式2-2（４・５月分）'!Q180)</f>
        <v/>
      </c>
      <c r="O235" s="1367"/>
      <c r="P235" s="1383"/>
      <c r="Q235" s="1384"/>
      <c r="R235" s="1385"/>
      <c r="S235" s="1393"/>
      <c r="T235" s="1414"/>
      <c r="U235" s="1563"/>
      <c r="V235" s="1458"/>
      <c r="W235" s="1351"/>
      <c r="X235" s="1535"/>
      <c r="Y235" s="1355"/>
      <c r="Z235" s="1535"/>
      <c r="AA235" s="1355"/>
      <c r="AB235" s="1535"/>
      <c r="AC235" s="1355"/>
      <c r="AD235" s="1535"/>
      <c r="AE235" s="1355"/>
      <c r="AF235" s="1355"/>
      <c r="AG235" s="1355"/>
      <c r="AH235" s="1361"/>
      <c r="AI235" s="1482"/>
      <c r="AJ235" s="1543"/>
      <c r="AK235" s="1539"/>
      <c r="AL235" s="1541"/>
      <c r="AM235" s="1572"/>
      <c r="AN235" s="1574"/>
      <c r="AO235" s="1404"/>
      <c r="AP235" s="1533"/>
      <c r="AQ235" s="1404"/>
      <c r="AR235" s="1584"/>
      <c r="AS235" s="1537"/>
      <c r="AT235" s="1532" t="str">
        <f t="shared" ref="AT235" si="268">IF(AV236="","",IF(OR(AB236="",AB236&lt;&gt;7,AD236="",AD236&lt;&gt;3),"！算定期間の終わりが令和７年３月になっていません。年度内の廃止予定等がなければ、算定対象月を令和７年３月にしてください。",""))</f>
        <v/>
      </c>
      <c r="AU235" s="674"/>
      <c r="AV235" s="1493"/>
      <c r="AW235" s="1518" t="str">
        <f>IF('別紙様式2-2（４・５月分）'!O180="","",'別紙様式2-2（４・５月分）'!O180)</f>
        <v/>
      </c>
      <c r="AX235" s="1507"/>
      <c r="AY235" s="1589"/>
      <c r="AZ235" s="521"/>
      <c r="BE235" s="428"/>
      <c r="BF235" s="1493" t="str">
        <f>G234</f>
        <v/>
      </c>
      <c r="BG235" s="1493"/>
      <c r="BH235" s="1493"/>
    </row>
    <row r="236" spans="1:60" ht="15" customHeight="1">
      <c r="A236" s="1240"/>
      <c r="B236" s="1272"/>
      <c r="C236" s="1261"/>
      <c r="D236" s="1261"/>
      <c r="E236" s="1261"/>
      <c r="F236" s="1262"/>
      <c r="G236" s="1266"/>
      <c r="H236" s="1266"/>
      <c r="I236" s="1266"/>
      <c r="J236" s="1372"/>
      <c r="K236" s="1266"/>
      <c r="L236" s="1451"/>
      <c r="M236" s="1453"/>
      <c r="N236" s="1371"/>
      <c r="O236" s="1368"/>
      <c r="P236" s="1390" t="s">
        <v>2179</v>
      </c>
      <c r="Q236" s="1504" t="str">
        <f>IFERROR(VLOOKUP('別紙様式2-2（４・５月分）'!AR179,【参考】数式用!$AT$5:$AV$22,3,FALSE),"")</f>
        <v/>
      </c>
      <c r="R236" s="1388" t="s">
        <v>2190</v>
      </c>
      <c r="S236" s="1394" t="str">
        <f>IFERROR(VLOOKUP(K234,【参考】数式用!$A$5:$AB$27,MATCH(Q236,【参考】数式用!$B$4:$AB$4,0)+1,0),"")</f>
        <v/>
      </c>
      <c r="T236" s="1459" t="s">
        <v>2267</v>
      </c>
      <c r="U236" s="1569"/>
      <c r="V236" s="1463" t="str">
        <f>IFERROR(VLOOKUP(K234,【参考】数式用!$A$5:$AB$27,MATCH(U236,【参考】数式用!$B$4:$AB$4,0)+1,0),"")</f>
        <v/>
      </c>
      <c r="W236" s="1465" t="s">
        <v>19</v>
      </c>
      <c r="X236" s="1564"/>
      <c r="Y236" s="1407" t="s">
        <v>10</v>
      </c>
      <c r="Z236" s="1564"/>
      <c r="AA236" s="1407" t="s">
        <v>45</v>
      </c>
      <c r="AB236" s="1564"/>
      <c r="AC236" s="1407" t="s">
        <v>10</v>
      </c>
      <c r="AD236" s="1564"/>
      <c r="AE236" s="1407" t="s">
        <v>2172</v>
      </c>
      <c r="AF236" s="1407" t="s">
        <v>24</v>
      </c>
      <c r="AG236" s="1407" t="str">
        <f>IF(X236&gt;=1,(AB236*12+AD236)-(X236*12+Z236)+1,"")</f>
        <v/>
      </c>
      <c r="AH236" s="1409" t="s">
        <v>38</v>
      </c>
      <c r="AI236" s="1411" t="str">
        <f t="shared" ref="AI236" si="269">IFERROR(ROUNDDOWN(ROUND(L234*V236,0)*M234,0)*AG236,"")</f>
        <v/>
      </c>
      <c r="AJ236" s="1577" t="str">
        <f>IFERROR(ROUNDDOWN(ROUND((L234*(V236-AX234)),0)*M234,0)*AG236,"")</f>
        <v/>
      </c>
      <c r="AK236" s="1494" t="str">
        <f>IFERROR(ROUNDDOWN(ROUNDDOWN(ROUND(L234*VLOOKUP(K234,【参考】数式用!$A$5:$AB$27,MATCH("新加算Ⅳ",【参考】数式用!$B$4:$AB$4,0)+1,0),0)*M234,0)*AG236*0.5,0),"")</f>
        <v/>
      </c>
      <c r="AL236" s="1579"/>
      <c r="AM236" s="1585" t="str">
        <f>IFERROR(IF('別紙様式2-2（４・５月分）'!Q181="ベア加算","", IF(OR(U236="新加算Ⅰ",U236="新加算Ⅱ",U236="新加算Ⅲ",U236="新加算Ⅳ"),ROUNDDOWN(ROUND(L234*VLOOKUP(K234,【参考】数式用!$A$5:$I$27,MATCH("ベア加算",【参考】数式用!$B$4:$I$4,0)+1,0),0)*M234,0)*AG236,"")),"")</f>
        <v/>
      </c>
      <c r="AN236" s="1548"/>
      <c r="AO236" s="1554"/>
      <c r="AP236" s="1552"/>
      <c r="AQ236" s="1554"/>
      <c r="AR236" s="1556"/>
      <c r="AS236" s="1558"/>
      <c r="AT236" s="1532"/>
      <c r="AU236" s="542"/>
      <c r="AV236" s="1493" t="str">
        <f t="shared" ref="AV236" si="270">IF(OR(AB234&lt;&gt;7,AD234&lt;&gt;3),"V列に色付け","")</f>
        <v/>
      </c>
      <c r="AW236" s="1518"/>
      <c r="AX236" s="1507"/>
      <c r="AY236" s="671"/>
      <c r="AZ236" s="1321" t="str">
        <f>IF(AM236&lt;&gt;"",IF(AN236="○","入力済","未入力"),"")</f>
        <v/>
      </c>
      <c r="BA236" s="1321"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321" t="str">
        <f>IF(OR(U236="新加算Ⅴ（７）",U236="新加算Ⅴ（９）",U236="新加算Ⅴ（10）",U236="新加算Ⅴ（12）",U236="新加算Ⅴ（13）",U236="新加算Ⅴ（14）"),IF(OR(AP236="○",AP236="令和６年度中に満たす"),"入力済","未入力"),"")</f>
        <v/>
      </c>
      <c r="BC236" s="1321" t="str">
        <f>IF(OR(U236="新加算Ⅰ",U236="新加算Ⅱ",U236="新加算Ⅲ",U236="新加算Ⅴ（１）",U236="新加算Ⅴ（３）",U236="新加算Ⅴ（８）"),IF(OR(AQ236="○",AQ236="令和６年度中に満たす"),"入力済","未入力"),"")</f>
        <v/>
      </c>
      <c r="BD236" s="1588"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493" t="str">
        <f>IF(OR(U236="新加算Ⅰ",U236="新加算Ⅴ（１）",U236="新加算Ⅴ（２）",U236="新加算Ⅴ（５）",U236="新加算Ⅴ（７）",U236="新加算Ⅴ（10）"),IF(AS236="","未入力","入力済"),"")</f>
        <v/>
      </c>
      <c r="BF236" s="1493" t="str">
        <f>G234</f>
        <v/>
      </c>
      <c r="BG236" s="1493"/>
      <c r="BH236" s="1493"/>
    </row>
    <row r="237" spans="1:60" ht="30" customHeight="1" thickBot="1">
      <c r="A237" s="1227"/>
      <c r="B237" s="1376"/>
      <c r="C237" s="1377"/>
      <c r="D237" s="1377"/>
      <c r="E237" s="1377"/>
      <c r="F237" s="1378"/>
      <c r="G237" s="1267"/>
      <c r="H237" s="1267"/>
      <c r="I237" s="1267"/>
      <c r="J237" s="1373"/>
      <c r="K237" s="1267"/>
      <c r="L237" s="1452"/>
      <c r="M237" s="1454"/>
      <c r="N237" s="650" t="str">
        <f>IF('別紙様式2-2（４・５月分）'!Q181="","",'別紙様式2-2（４・５月分）'!Q181)</f>
        <v/>
      </c>
      <c r="O237" s="1369"/>
      <c r="P237" s="1391"/>
      <c r="Q237" s="1505"/>
      <c r="R237" s="1389"/>
      <c r="S237" s="1395"/>
      <c r="T237" s="1460"/>
      <c r="U237" s="1570"/>
      <c r="V237" s="1464"/>
      <c r="W237" s="1466"/>
      <c r="X237" s="1565"/>
      <c r="Y237" s="1408"/>
      <c r="Z237" s="1565"/>
      <c r="AA237" s="1408"/>
      <c r="AB237" s="1565"/>
      <c r="AC237" s="1408"/>
      <c r="AD237" s="1565"/>
      <c r="AE237" s="1408"/>
      <c r="AF237" s="1408"/>
      <c r="AG237" s="1408"/>
      <c r="AH237" s="1410"/>
      <c r="AI237" s="1412"/>
      <c r="AJ237" s="1578"/>
      <c r="AK237" s="1495"/>
      <c r="AL237" s="1580"/>
      <c r="AM237" s="1586"/>
      <c r="AN237" s="1549"/>
      <c r="AO237" s="1555"/>
      <c r="AP237" s="1553"/>
      <c r="AQ237" s="1555"/>
      <c r="AR237" s="1557"/>
      <c r="AS237" s="1559"/>
      <c r="AT237" s="672" t="str">
        <f t="shared" ref="AT237" si="271">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42"/>
      <c r="AV237" s="1493"/>
      <c r="AW237" s="652" t="str">
        <f>IF('別紙様式2-2（４・５月分）'!O181="","",'別紙様式2-2（４・５月分）'!O181)</f>
        <v/>
      </c>
      <c r="AX237" s="1507"/>
      <c r="AY237" s="673"/>
      <c r="AZ237" s="1321" t="str">
        <f>IF(OR(U237="新加算Ⅰ",U237="新加算Ⅱ",U237="新加算Ⅲ",U237="新加算Ⅳ",U237="新加算Ⅴ（１）",U237="新加算Ⅴ（２）",U237="新加算Ⅴ（３）",U237="新加算ⅠⅤ（４）",U237="新加算Ⅴ（５）",U237="新加算Ⅴ（６）",U237="新加算Ⅴ（８）",U237="新加算Ⅴ（11）"),IF(AJ237="○","","未入力"),"")</f>
        <v/>
      </c>
      <c r="BA237" s="1321" t="str">
        <f>IF(OR(V237="新加算Ⅰ",V237="新加算Ⅱ",V237="新加算Ⅲ",V237="新加算Ⅳ",V237="新加算Ⅴ（１）",V237="新加算Ⅴ（２）",V237="新加算Ⅴ（３）",V237="新加算ⅠⅤ（４）",V237="新加算Ⅴ（５）",V237="新加算Ⅴ（６）",V237="新加算Ⅴ（８）",V237="新加算Ⅴ（11）"),IF(AK237="○","","未入力"),"")</f>
        <v/>
      </c>
      <c r="BB237" s="1321" t="str">
        <f>IF(OR(V237="新加算Ⅴ（７）",V237="新加算Ⅴ（９）",V237="新加算Ⅴ（10）",V237="新加算Ⅴ（12）",V237="新加算Ⅴ（13）",V237="新加算Ⅴ（14）"),IF(AL237="○","","未入力"),"")</f>
        <v/>
      </c>
      <c r="BC237" s="1321" t="str">
        <f>IF(OR(V237="新加算Ⅰ",V237="新加算Ⅱ",V237="新加算Ⅲ",V237="新加算Ⅴ（１）",V237="新加算Ⅴ（３）",V237="新加算Ⅴ（８）"),IF(AM237="○","","未入力"),"")</f>
        <v/>
      </c>
      <c r="BD237" s="1588"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493" t="str">
        <f>IF(AND(U237&lt;&gt;"（参考）令和７年度の移行予定",OR(V237="新加算Ⅰ",V237="新加算Ⅴ（１）",V237="新加算Ⅴ（２）",V237="新加算Ⅴ（５）",V237="新加算Ⅴ（７）",V237="新加算Ⅴ（10）")),IF(AO237="","未入力",IF(AO237="いずれも取得していない","要件を満たさない","")),"")</f>
        <v/>
      </c>
      <c r="BF237" s="1493" t="str">
        <f>G234</f>
        <v/>
      </c>
      <c r="BG237" s="1493"/>
      <c r="BH237" s="1493"/>
    </row>
    <row r="238" spans="1:60" ht="30" customHeight="1">
      <c r="A238" s="1225">
        <v>57</v>
      </c>
      <c r="B238" s="1272" t="str">
        <f>IF(基本情報入力シート!C110="","",基本情報入力シート!C110)</f>
        <v/>
      </c>
      <c r="C238" s="1261"/>
      <c r="D238" s="1261"/>
      <c r="E238" s="1261"/>
      <c r="F238" s="1262"/>
      <c r="G238" s="1266" t="str">
        <f>IF(基本情報入力シート!M110="","",基本情報入力シート!M110)</f>
        <v/>
      </c>
      <c r="H238" s="1266" t="str">
        <f>IF(基本情報入力シート!R110="","",基本情報入力シート!R110)</f>
        <v/>
      </c>
      <c r="I238" s="1266" t="str">
        <f>IF(基本情報入力シート!W110="","",基本情報入力シート!W110)</f>
        <v/>
      </c>
      <c r="J238" s="1372" t="str">
        <f>IF(基本情報入力シート!X110="","",基本情報入力シート!X110)</f>
        <v/>
      </c>
      <c r="K238" s="1266" t="str">
        <f>IF(基本情報入力シート!Y110="","",基本情報入力シート!Y110)</f>
        <v/>
      </c>
      <c r="L238" s="1451" t="str">
        <f>IF(基本情報入力シート!AB110="","",基本情報入力シート!AB110)</f>
        <v/>
      </c>
      <c r="M238" s="1453" t="str">
        <f>IF(基本情報入力シート!AC110="","",基本情報入力シート!AC110)</f>
        <v/>
      </c>
      <c r="N238" s="647" t="str">
        <f>IF('別紙様式2-2（４・５月分）'!Q182="","",'別紙様式2-2（４・５月分）'!Q182)</f>
        <v/>
      </c>
      <c r="O238" s="1366" t="str">
        <f>IF(SUM('別紙様式2-2（４・５月分）'!R182:R184)=0,"",SUM('別紙様式2-2（４・５月分）'!R182:R184))</f>
        <v/>
      </c>
      <c r="P238" s="1380" t="str">
        <f>IFERROR(VLOOKUP('別紙様式2-2（４・５月分）'!AR182,【参考】数式用!$AT$5:$AU$22,2,FALSE),"")</f>
        <v/>
      </c>
      <c r="Q238" s="1381"/>
      <c r="R238" s="1382"/>
      <c r="S238" s="1392" t="str">
        <f>IFERROR(VLOOKUP(K238,【参考】数式用!$A$5:$AB$27,MATCH(P238,【参考】数式用!$B$4:$AB$4,0)+1,0),"")</f>
        <v/>
      </c>
      <c r="T238" s="1413" t="s">
        <v>2258</v>
      </c>
      <c r="U238" s="1562" t="str">
        <f>IF('別紙様式2-3（６月以降分）'!U238="","",'別紙様式2-3（６月以降分）'!U238)</f>
        <v/>
      </c>
      <c r="V238" s="1457" t="str">
        <f>IFERROR(VLOOKUP(K238,【参考】数式用!$A$5:$AB$27,MATCH(U238,【参考】数式用!$B$4:$AB$4,0)+1,0),"")</f>
        <v/>
      </c>
      <c r="W238" s="1350" t="s">
        <v>19</v>
      </c>
      <c r="X238" s="1534">
        <f>'別紙様式2-3（６月以降分）'!X238</f>
        <v>6</v>
      </c>
      <c r="Y238" s="1354" t="s">
        <v>10</v>
      </c>
      <c r="Z238" s="1534">
        <f>'別紙様式2-3（６月以降分）'!Z238</f>
        <v>6</v>
      </c>
      <c r="AA238" s="1354" t="s">
        <v>45</v>
      </c>
      <c r="AB238" s="1534">
        <f>'別紙様式2-3（６月以降分）'!AB238</f>
        <v>7</v>
      </c>
      <c r="AC238" s="1354" t="s">
        <v>10</v>
      </c>
      <c r="AD238" s="1534">
        <f>'別紙様式2-3（６月以降分）'!AD238</f>
        <v>3</v>
      </c>
      <c r="AE238" s="1354" t="s">
        <v>2172</v>
      </c>
      <c r="AF238" s="1354" t="s">
        <v>24</v>
      </c>
      <c r="AG238" s="1354">
        <f>IF(X238&gt;=1,(AB238*12+AD238)-(X238*12+Z238)+1,"")</f>
        <v>10</v>
      </c>
      <c r="AH238" s="1360" t="s">
        <v>38</v>
      </c>
      <c r="AI238" s="1481" t="str">
        <f>'別紙様式2-3（６月以降分）'!AI238</f>
        <v/>
      </c>
      <c r="AJ238" s="1542" t="str">
        <f>'別紙様式2-3（６月以降分）'!AJ238</f>
        <v/>
      </c>
      <c r="AK238" s="1538">
        <f>'別紙様式2-3（６月以降分）'!AK238</f>
        <v>0</v>
      </c>
      <c r="AL238" s="1540" t="str">
        <f>IF('別紙様式2-3（６月以降分）'!AL238="","",'別紙様式2-3（６月以降分）'!AL238)</f>
        <v/>
      </c>
      <c r="AM238" s="1571">
        <f>'別紙様式2-3（６月以降分）'!AM238</f>
        <v>0</v>
      </c>
      <c r="AN238" s="1573" t="str">
        <f>IF('別紙様式2-3（６月以降分）'!AN238="","",'別紙様式2-3（６月以降分）'!AN238)</f>
        <v/>
      </c>
      <c r="AO238" s="1403" t="str">
        <f>IF('別紙様式2-3（６月以降分）'!AO238="","",'別紙様式2-3（６月以降分）'!AO238)</f>
        <v/>
      </c>
      <c r="AP238" s="1502" t="str">
        <f>IF('別紙様式2-3（６月以降分）'!AP238="","",'別紙様式2-3（６月以降分）'!AP238)</f>
        <v/>
      </c>
      <c r="AQ238" s="1403" t="str">
        <f>IF('別紙様式2-3（６月以降分）'!AQ238="","",'別紙様式2-3（６月以降分）'!AQ238)</f>
        <v/>
      </c>
      <c r="AR238" s="1583" t="str">
        <f>IF('別紙様式2-3（６月以降分）'!AR238="","",'別紙様式2-3（６月以降分）'!AR238)</f>
        <v/>
      </c>
      <c r="AS238" s="1536" t="str">
        <f>IF('別紙様式2-3（６月以降分）'!AS238="","",'別紙様式2-3（６月以降分）'!AS238)</f>
        <v/>
      </c>
      <c r="AT238" s="667" t="str">
        <f t="shared" ref="AT238" si="272">IF(AV240="","",IF(V240&lt;V238,"！加算の要件上は問題ありませんが、令和６年度当初の新加算の加算率と比較して、移行後の加算率が下がる計画になっています。",""))</f>
        <v/>
      </c>
      <c r="AU238" s="674"/>
      <c r="AV238" s="1233"/>
      <c r="AW238" s="652" t="str">
        <f>IF('別紙様式2-2（４・５月分）'!O182="","",'別紙様式2-2（４・５月分）'!O182)</f>
        <v/>
      </c>
      <c r="AX238" s="1507" t="str">
        <f>IF(SUM('別紙様式2-2（４・５月分）'!P182:P184)=0,"",SUM('別紙様式2-2（４・５月分）'!P182:P184))</f>
        <v/>
      </c>
      <c r="AY238" s="1590" t="str">
        <f>IFERROR(VLOOKUP(K238,【参考】数式用!$AJ$2:$AK$24,2,FALSE),"")</f>
        <v/>
      </c>
      <c r="AZ238" s="584"/>
      <c r="BE238" s="428"/>
      <c r="BF238" s="1493" t="str">
        <f>G238</f>
        <v/>
      </c>
      <c r="BG238" s="1493"/>
      <c r="BH238" s="1493"/>
    </row>
    <row r="239" spans="1:60" ht="15" customHeight="1">
      <c r="A239" s="1226"/>
      <c r="B239" s="1272"/>
      <c r="C239" s="1261"/>
      <c r="D239" s="1261"/>
      <c r="E239" s="1261"/>
      <c r="F239" s="1262"/>
      <c r="G239" s="1266"/>
      <c r="H239" s="1266"/>
      <c r="I239" s="1266"/>
      <c r="J239" s="1372"/>
      <c r="K239" s="1266"/>
      <c r="L239" s="1451"/>
      <c r="M239" s="1453"/>
      <c r="N239" s="1370" t="str">
        <f>IF('別紙様式2-2（４・５月分）'!Q183="","",'別紙様式2-2（４・５月分）'!Q183)</f>
        <v/>
      </c>
      <c r="O239" s="1367"/>
      <c r="P239" s="1383"/>
      <c r="Q239" s="1384"/>
      <c r="R239" s="1385"/>
      <c r="S239" s="1393"/>
      <c r="T239" s="1414"/>
      <c r="U239" s="1563"/>
      <c r="V239" s="1458"/>
      <c r="W239" s="1351"/>
      <c r="X239" s="1535"/>
      <c r="Y239" s="1355"/>
      <c r="Z239" s="1535"/>
      <c r="AA239" s="1355"/>
      <c r="AB239" s="1535"/>
      <c r="AC239" s="1355"/>
      <c r="AD239" s="1535"/>
      <c r="AE239" s="1355"/>
      <c r="AF239" s="1355"/>
      <c r="AG239" s="1355"/>
      <c r="AH239" s="1361"/>
      <c r="AI239" s="1482"/>
      <c r="AJ239" s="1543"/>
      <c r="AK239" s="1539"/>
      <c r="AL239" s="1541"/>
      <c r="AM239" s="1572"/>
      <c r="AN239" s="1574"/>
      <c r="AO239" s="1404"/>
      <c r="AP239" s="1533"/>
      <c r="AQ239" s="1404"/>
      <c r="AR239" s="1584"/>
      <c r="AS239" s="1537"/>
      <c r="AT239" s="1532" t="str">
        <f t="shared" ref="AT239" si="273">IF(AV240="","",IF(OR(AB240="",AB240&lt;&gt;7,AD240="",AD240&lt;&gt;3),"！算定期間の終わりが令和７年３月になっていません。年度内の廃止予定等がなければ、算定対象月を令和７年３月にしてください。",""))</f>
        <v/>
      </c>
      <c r="AU239" s="674"/>
      <c r="AV239" s="1493"/>
      <c r="AW239" s="1518" t="str">
        <f>IF('別紙様式2-2（４・５月分）'!O183="","",'別紙様式2-2（４・５月分）'!O183)</f>
        <v/>
      </c>
      <c r="AX239" s="1507"/>
      <c r="AY239" s="1589"/>
      <c r="AZ239" s="521"/>
      <c r="BE239" s="428"/>
      <c r="BF239" s="1493" t="str">
        <f>G238</f>
        <v/>
      </c>
      <c r="BG239" s="1493"/>
      <c r="BH239" s="1493"/>
    </row>
    <row r="240" spans="1:60" ht="15" customHeight="1">
      <c r="A240" s="1240"/>
      <c r="B240" s="1272"/>
      <c r="C240" s="1261"/>
      <c r="D240" s="1261"/>
      <c r="E240" s="1261"/>
      <c r="F240" s="1262"/>
      <c r="G240" s="1266"/>
      <c r="H240" s="1266"/>
      <c r="I240" s="1266"/>
      <c r="J240" s="1372"/>
      <c r="K240" s="1266"/>
      <c r="L240" s="1451"/>
      <c r="M240" s="1453"/>
      <c r="N240" s="1371"/>
      <c r="O240" s="1368"/>
      <c r="P240" s="1390" t="s">
        <v>2179</v>
      </c>
      <c r="Q240" s="1504" t="str">
        <f>IFERROR(VLOOKUP('別紙様式2-2（４・５月分）'!AR182,【参考】数式用!$AT$5:$AV$22,3,FALSE),"")</f>
        <v/>
      </c>
      <c r="R240" s="1388" t="s">
        <v>2190</v>
      </c>
      <c r="S240" s="1394" t="str">
        <f>IFERROR(VLOOKUP(K238,【参考】数式用!$A$5:$AB$27,MATCH(Q240,【参考】数式用!$B$4:$AB$4,0)+1,0),"")</f>
        <v/>
      </c>
      <c r="T240" s="1459" t="s">
        <v>2267</v>
      </c>
      <c r="U240" s="1569"/>
      <c r="V240" s="1463" t="str">
        <f>IFERROR(VLOOKUP(K238,【参考】数式用!$A$5:$AB$27,MATCH(U240,【参考】数式用!$B$4:$AB$4,0)+1,0),"")</f>
        <v/>
      </c>
      <c r="W240" s="1465" t="s">
        <v>19</v>
      </c>
      <c r="X240" s="1564"/>
      <c r="Y240" s="1407" t="s">
        <v>10</v>
      </c>
      <c r="Z240" s="1564"/>
      <c r="AA240" s="1407" t="s">
        <v>45</v>
      </c>
      <c r="AB240" s="1564"/>
      <c r="AC240" s="1407" t="s">
        <v>10</v>
      </c>
      <c r="AD240" s="1564"/>
      <c r="AE240" s="1407" t="s">
        <v>2172</v>
      </c>
      <c r="AF240" s="1407" t="s">
        <v>24</v>
      </c>
      <c r="AG240" s="1407" t="str">
        <f>IF(X240&gt;=1,(AB240*12+AD240)-(X240*12+Z240)+1,"")</f>
        <v/>
      </c>
      <c r="AH240" s="1409" t="s">
        <v>38</v>
      </c>
      <c r="AI240" s="1411" t="str">
        <f t="shared" ref="AI240" si="274">IFERROR(ROUNDDOWN(ROUND(L238*V240,0)*M238,0)*AG240,"")</f>
        <v/>
      </c>
      <c r="AJ240" s="1577" t="str">
        <f>IFERROR(ROUNDDOWN(ROUND((L238*(V240-AX238)),0)*M238,0)*AG240,"")</f>
        <v/>
      </c>
      <c r="AK240" s="1494" t="str">
        <f>IFERROR(ROUNDDOWN(ROUNDDOWN(ROUND(L238*VLOOKUP(K238,【参考】数式用!$A$5:$AB$27,MATCH("新加算Ⅳ",【参考】数式用!$B$4:$AB$4,0)+1,0),0)*M238,0)*AG240*0.5,0),"")</f>
        <v/>
      </c>
      <c r="AL240" s="1579"/>
      <c r="AM240" s="1585" t="str">
        <f>IFERROR(IF('別紙様式2-2（４・５月分）'!Q184="ベア加算","", IF(OR(U240="新加算Ⅰ",U240="新加算Ⅱ",U240="新加算Ⅲ",U240="新加算Ⅳ"),ROUNDDOWN(ROUND(L238*VLOOKUP(K238,【参考】数式用!$A$5:$I$27,MATCH("ベア加算",【参考】数式用!$B$4:$I$4,0)+1,0),0)*M238,0)*AG240,"")),"")</f>
        <v/>
      </c>
      <c r="AN240" s="1548"/>
      <c r="AO240" s="1554"/>
      <c r="AP240" s="1552"/>
      <c r="AQ240" s="1554"/>
      <c r="AR240" s="1556"/>
      <c r="AS240" s="1558"/>
      <c r="AT240" s="1532"/>
      <c r="AU240" s="542"/>
      <c r="AV240" s="1493" t="str">
        <f t="shared" ref="AV240" si="275">IF(OR(AB238&lt;&gt;7,AD238&lt;&gt;3),"V列に色付け","")</f>
        <v/>
      </c>
      <c r="AW240" s="1518"/>
      <c r="AX240" s="1507"/>
      <c r="AY240" s="671"/>
      <c r="AZ240" s="1321" t="str">
        <f>IF(AM240&lt;&gt;"",IF(AN240="○","入力済","未入力"),"")</f>
        <v/>
      </c>
      <c r="BA240" s="1321"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321" t="str">
        <f>IF(OR(U240="新加算Ⅴ（７）",U240="新加算Ⅴ（９）",U240="新加算Ⅴ（10）",U240="新加算Ⅴ（12）",U240="新加算Ⅴ（13）",U240="新加算Ⅴ（14）"),IF(OR(AP240="○",AP240="令和６年度中に満たす"),"入力済","未入力"),"")</f>
        <v/>
      </c>
      <c r="BC240" s="1321" t="str">
        <f>IF(OR(U240="新加算Ⅰ",U240="新加算Ⅱ",U240="新加算Ⅲ",U240="新加算Ⅴ（１）",U240="新加算Ⅴ（３）",U240="新加算Ⅴ（８）"),IF(OR(AQ240="○",AQ240="令和６年度中に満たす"),"入力済","未入力"),"")</f>
        <v/>
      </c>
      <c r="BD240" s="1588"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493" t="str">
        <f>IF(OR(U240="新加算Ⅰ",U240="新加算Ⅴ（１）",U240="新加算Ⅴ（２）",U240="新加算Ⅴ（５）",U240="新加算Ⅴ（７）",U240="新加算Ⅴ（10）"),IF(AS240="","未入力","入力済"),"")</f>
        <v/>
      </c>
      <c r="BF240" s="1493" t="str">
        <f>G238</f>
        <v/>
      </c>
      <c r="BG240" s="1493"/>
      <c r="BH240" s="1493"/>
    </row>
    <row r="241" spans="1:60" ht="30" customHeight="1" thickBot="1">
      <c r="A241" s="1227"/>
      <c r="B241" s="1376"/>
      <c r="C241" s="1377"/>
      <c r="D241" s="1377"/>
      <c r="E241" s="1377"/>
      <c r="F241" s="1378"/>
      <c r="G241" s="1267"/>
      <c r="H241" s="1267"/>
      <c r="I241" s="1267"/>
      <c r="J241" s="1373"/>
      <c r="K241" s="1267"/>
      <c r="L241" s="1452"/>
      <c r="M241" s="1454"/>
      <c r="N241" s="650" t="str">
        <f>IF('別紙様式2-2（４・５月分）'!Q184="","",'別紙様式2-2（４・５月分）'!Q184)</f>
        <v/>
      </c>
      <c r="O241" s="1369"/>
      <c r="P241" s="1391"/>
      <c r="Q241" s="1505"/>
      <c r="R241" s="1389"/>
      <c r="S241" s="1395"/>
      <c r="T241" s="1460"/>
      <c r="U241" s="1570"/>
      <c r="V241" s="1464"/>
      <c r="W241" s="1466"/>
      <c r="X241" s="1565"/>
      <c r="Y241" s="1408"/>
      <c r="Z241" s="1565"/>
      <c r="AA241" s="1408"/>
      <c r="AB241" s="1565"/>
      <c r="AC241" s="1408"/>
      <c r="AD241" s="1565"/>
      <c r="AE241" s="1408"/>
      <c r="AF241" s="1408"/>
      <c r="AG241" s="1408"/>
      <c r="AH241" s="1410"/>
      <c r="AI241" s="1412"/>
      <c r="AJ241" s="1578"/>
      <c r="AK241" s="1495"/>
      <c r="AL241" s="1580"/>
      <c r="AM241" s="1586"/>
      <c r="AN241" s="1549"/>
      <c r="AO241" s="1555"/>
      <c r="AP241" s="1553"/>
      <c r="AQ241" s="1555"/>
      <c r="AR241" s="1557"/>
      <c r="AS241" s="1559"/>
      <c r="AT241" s="672" t="str">
        <f t="shared" ref="AT241" si="276">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42"/>
      <c r="AV241" s="1493"/>
      <c r="AW241" s="652" t="str">
        <f>IF('別紙様式2-2（４・５月分）'!O184="","",'別紙様式2-2（４・５月分）'!O184)</f>
        <v/>
      </c>
      <c r="AX241" s="1507"/>
      <c r="AY241" s="673"/>
      <c r="AZ241" s="1321" t="str">
        <f>IF(OR(U241="新加算Ⅰ",U241="新加算Ⅱ",U241="新加算Ⅲ",U241="新加算Ⅳ",U241="新加算Ⅴ（１）",U241="新加算Ⅴ（２）",U241="新加算Ⅴ（３）",U241="新加算ⅠⅤ（４）",U241="新加算Ⅴ（５）",U241="新加算Ⅴ（６）",U241="新加算Ⅴ（８）",U241="新加算Ⅴ（11）"),IF(AJ241="○","","未入力"),"")</f>
        <v/>
      </c>
      <c r="BA241" s="1321" t="str">
        <f>IF(OR(V241="新加算Ⅰ",V241="新加算Ⅱ",V241="新加算Ⅲ",V241="新加算Ⅳ",V241="新加算Ⅴ（１）",V241="新加算Ⅴ（２）",V241="新加算Ⅴ（３）",V241="新加算ⅠⅤ（４）",V241="新加算Ⅴ（５）",V241="新加算Ⅴ（６）",V241="新加算Ⅴ（８）",V241="新加算Ⅴ（11）"),IF(AK241="○","","未入力"),"")</f>
        <v/>
      </c>
      <c r="BB241" s="1321" t="str">
        <f>IF(OR(V241="新加算Ⅴ（７）",V241="新加算Ⅴ（９）",V241="新加算Ⅴ（10）",V241="新加算Ⅴ（12）",V241="新加算Ⅴ（13）",V241="新加算Ⅴ（14）"),IF(AL241="○","","未入力"),"")</f>
        <v/>
      </c>
      <c r="BC241" s="1321" t="str">
        <f>IF(OR(V241="新加算Ⅰ",V241="新加算Ⅱ",V241="新加算Ⅲ",V241="新加算Ⅴ（１）",V241="新加算Ⅴ（３）",V241="新加算Ⅴ（８）"),IF(AM241="○","","未入力"),"")</f>
        <v/>
      </c>
      <c r="BD241" s="1588"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493" t="str">
        <f>IF(AND(U241&lt;&gt;"（参考）令和７年度の移行予定",OR(V241="新加算Ⅰ",V241="新加算Ⅴ（１）",V241="新加算Ⅴ（２）",V241="新加算Ⅴ（５）",V241="新加算Ⅴ（７）",V241="新加算Ⅴ（10）")),IF(AO241="","未入力",IF(AO241="いずれも取得していない","要件を満たさない","")),"")</f>
        <v/>
      </c>
      <c r="BF241" s="1493" t="str">
        <f>G238</f>
        <v/>
      </c>
      <c r="BG241" s="1493"/>
      <c r="BH241" s="1493"/>
    </row>
    <row r="242" spans="1:60" ht="30" customHeight="1">
      <c r="A242" s="1241">
        <v>58</v>
      </c>
      <c r="B242" s="1271" t="str">
        <f>IF(基本情報入力シート!C111="","",基本情報入力シート!C111)</f>
        <v/>
      </c>
      <c r="C242" s="1259"/>
      <c r="D242" s="1259"/>
      <c r="E242" s="1259"/>
      <c r="F242" s="1260"/>
      <c r="G242" s="1265" t="str">
        <f>IF(基本情報入力シート!M111="","",基本情報入力シート!M111)</f>
        <v/>
      </c>
      <c r="H242" s="1265" t="str">
        <f>IF(基本情報入力シート!R111="","",基本情報入力シート!R111)</f>
        <v/>
      </c>
      <c r="I242" s="1265" t="str">
        <f>IF(基本情報入力シート!W111="","",基本情報入力シート!W111)</f>
        <v/>
      </c>
      <c r="J242" s="1379" t="str">
        <f>IF(基本情報入力シート!X111="","",基本情報入力シート!X111)</f>
        <v/>
      </c>
      <c r="K242" s="1265" t="str">
        <f>IF(基本情報入力シート!Y111="","",基本情報入力シート!Y111)</f>
        <v/>
      </c>
      <c r="L242" s="1450" t="str">
        <f>IF(基本情報入力シート!AB111="","",基本情報入力シート!AB111)</f>
        <v/>
      </c>
      <c r="M242" s="1447" t="str">
        <f>IF(基本情報入力シート!AC111="","",基本情報入力シート!AC111)</f>
        <v/>
      </c>
      <c r="N242" s="647" t="str">
        <f>IF('別紙様式2-2（４・５月分）'!Q185="","",'別紙様式2-2（４・５月分）'!Q185)</f>
        <v/>
      </c>
      <c r="O242" s="1366" t="str">
        <f>IF(SUM('別紙様式2-2（４・５月分）'!R185:R187)=0,"",SUM('別紙様式2-2（４・５月分）'!R185:R187))</f>
        <v/>
      </c>
      <c r="P242" s="1380" t="str">
        <f>IFERROR(VLOOKUP('別紙様式2-2（４・５月分）'!AR185,【参考】数式用!$AT$5:$AU$22,2,FALSE),"")</f>
        <v/>
      </c>
      <c r="Q242" s="1381"/>
      <c r="R242" s="1382"/>
      <c r="S242" s="1392" t="str">
        <f>IFERROR(VLOOKUP(K242,【参考】数式用!$A$5:$AB$27,MATCH(P242,【参考】数式用!$B$4:$AB$4,0)+1,0),"")</f>
        <v/>
      </c>
      <c r="T242" s="1413" t="s">
        <v>2258</v>
      </c>
      <c r="U242" s="1562" t="str">
        <f>IF('別紙様式2-3（６月以降分）'!U242="","",'別紙様式2-3（６月以降分）'!U242)</f>
        <v/>
      </c>
      <c r="V242" s="1457" t="str">
        <f>IFERROR(VLOOKUP(K242,【参考】数式用!$A$5:$AB$27,MATCH(U242,【参考】数式用!$B$4:$AB$4,0)+1,0),"")</f>
        <v/>
      </c>
      <c r="W242" s="1350" t="s">
        <v>19</v>
      </c>
      <c r="X242" s="1534">
        <f>'別紙様式2-3（６月以降分）'!X242</f>
        <v>6</v>
      </c>
      <c r="Y242" s="1354" t="s">
        <v>10</v>
      </c>
      <c r="Z242" s="1534">
        <f>'別紙様式2-3（６月以降分）'!Z242</f>
        <v>6</v>
      </c>
      <c r="AA242" s="1354" t="s">
        <v>45</v>
      </c>
      <c r="AB242" s="1534">
        <f>'別紙様式2-3（６月以降分）'!AB242</f>
        <v>7</v>
      </c>
      <c r="AC242" s="1354" t="s">
        <v>10</v>
      </c>
      <c r="AD242" s="1534">
        <f>'別紙様式2-3（６月以降分）'!AD242</f>
        <v>3</v>
      </c>
      <c r="AE242" s="1354" t="s">
        <v>2172</v>
      </c>
      <c r="AF242" s="1354" t="s">
        <v>24</v>
      </c>
      <c r="AG242" s="1354">
        <f>IF(X242&gt;=1,(AB242*12+AD242)-(X242*12+Z242)+1,"")</f>
        <v>10</v>
      </c>
      <c r="AH242" s="1360" t="s">
        <v>38</v>
      </c>
      <c r="AI242" s="1481" t="str">
        <f>'別紙様式2-3（６月以降分）'!AI242</f>
        <v/>
      </c>
      <c r="AJ242" s="1542" t="str">
        <f>'別紙様式2-3（６月以降分）'!AJ242</f>
        <v/>
      </c>
      <c r="AK242" s="1538">
        <f>'別紙様式2-3（６月以降分）'!AK242</f>
        <v>0</v>
      </c>
      <c r="AL242" s="1540" t="str">
        <f>IF('別紙様式2-3（６月以降分）'!AL242="","",'別紙様式2-3（６月以降分）'!AL242)</f>
        <v/>
      </c>
      <c r="AM242" s="1571">
        <f>'別紙様式2-3（６月以降分）'!AM242</f>
        <v>0</v>
      </c>
      <c r="AN242" s="1573" t="str">
        <f>IF('別紙様式2-3（６月以降分）'!AN242="","",'別紙様式2-3（６月以降分）'!AN242)</f>
        <v/>
      </c>
      <c r="AO242" s="1403" t="str">
        <f>IF('別紙様式2-3（６月以降分）'!AO242="","",'別紙様式2-3（６月以降分）'!AO242)</f>
        <v/>
      </c>
      <c r="AP242" s="1502" t="str">
        <f>IF('別紙様式2-3（６月以降分）'!AP242="","",'別紙様式2-3（６月以降分）'!AP242)</f>
        <v/>
      </c>
      <c r="AQ242" s="1403" t="str">
        <f>IF('別紙様式2-3（６月以降分）'!AQ242="","",'別紙様式2-3（６月以降分）'!AQ242)</f>
        <v/>
      </c>
      <c r="AR242" s="1583" t="str">
        <f>IF('別紙様式2-3（６月以降分）'!AR242="","",'別紙様式2-3（６月以降分）'!AR242)</f>
        <v/>
      </c>
      <c r="AS242" s="1536" t="str">
        <f>IF('別紙様式2-3（６月以降分）'!AS242="","",'別紙様式2-3（６月以降分）'!AS242)</f>
        <v/>
      </c>
      <c r="AT242" s="667" t="str">
        <f t="shared" ref="AT242" si="277">IF(AV244="","",IF(V244&lt;V242,"！加算の要件上は問題ありませんが、令和６年度当初の新加算の加算率と比較して、移行後の加算率が下がる計画になっています。",""))</f>
        <v/>
      </c>
      <c r="AU242" s="674"/>
      <c r="AV242" s="1233"/>
      <c r="AW242" s="652" t="str">
        <f>IF('別紙様式2-2（４・５月分）'!O185="","",'別紙様式2-2（４・５月分）'!O185)</f>
        <v/>
      </c>
      <c r="AX242" s="1507" t="str">
        <f>IF(SUM('別紙様式2-2（４・５月分）'!P185:P187)=0,"",SUM('別紙様式2-2（４・５月分）'!P185:P187))</f>
        <v/>
      </c>
      <c r="AY242" s="1589" t="str">
        <f>IFERROR(VLOOKUP(K242,【参考】数式用!$AJ$2:$AK$24,2,FALSE),"")</f>
        <v/>
      </c>
      <c r="AZ242" s="584"/>
      <c r="BE242" s="428"/>
      <c r="BF242" s="1493" t="str">
        <f>G242</f>
        <v/>
      </c>
      <c r="BG242" s="1493"/>
      <c r="BH242" s="1493"/>
    </row>
    <row r="243" spans="1:60" ht="15" customHeight="1">
      <c r="A243" s="1226"/>
      <c r="B243" s="1272"/>
      <c r="C243" s="1261"/>
      <c r="D243" s="1261"/>
      <c r="E243" s="1261"/>
      <c r="F243" s="1262"/>
      <c r="G243" s="1266"/>
      <c r="H243" s="1266"/>
      <c r="I243" s="1266"/>
      <c r="J243" s="1372"/>
      <c r="K243" s="1266"/>
      <c r="L243" s="1451"/>
      <c r="M243" s="1448"/>
      <c r="N243" s="1370" t="str">
        <f>IF('別紙様式2-2（４・５月分）'!Q186="","",'別紙様式2-2（４・５月分）'!Q186)</f>
        <v/>
      </c>
      <c r="O243" s="1367"/>
      <c r="P243" s="1383"/>
      <c r="Q243" s="1384"/>
      <c r="R243" s="1385"/>
      <c r="S243" s="1393"/>
      <c r="T243" s="1414"/>
      <c r="U243" s="1563"/>
      <c r="V243" s="1458"/>
      <c r="W243" s="1351"/>
      <c r="X243" s="1535"/>
      <c r="Y243" s="1355"/>
      <c r="Z243" s="1535"/>
      <c r="AA243" s="1355"/>
      <c r="AB243" s="1535"/>
      <c r="AC243" s="1355"/>
      <c r="AD243" s="1535"/>
      <c r="AE243" s="1355"/>
      <c r="AF243" s="1355"/>
      <c r="AG243" s="1355"/>
      <c r="AH243" s="1361"/>
      <c r="AI243" s="1482"/>
      <c r="AJ243" s="1543"/>
      <c r="AK243" s="1539"/>
      <c r="AL243" s="1541"/>
      <c r="AM243" s="1572"/>
      <c r="AN243" s="1574"/>
      <c r="AO243" s="1404"/>
      <c r="AP243" s="1533"/>
      <c r="AQ243" s="1404"/>
      <c r="AR243" s="1584"/>
      <c r="AS243" s="1537"/>
      <c r="AT243" s="1532" t="str">
        <f t="shared" ref="AT243" si="278">IF(AV244="","",IF(OR(AB244="",AB244&lt;&gt;7,AD244="",AD244&lt;&gt;3),"！算定期間の終わりが令和７年３月になっていません。年度内の廃止予定等がなければ、算定対象月を令和７年３月にしてください。",""))</f>
        <v/>
      </c>
      <c r="AU243" s="674"/>
      <c r="AV243" s="1493"/>
      <c r="AW243" s="1518" t="str">
        <f>IF('別紙様式2-2（４・５月分）'!O186="","",'別紙様式2-2（４・５月分）'!O186)</f>
        <v/>
      </c>
      <c r="AX243" s="1507"/>
      <c r="AY243" s="1589"/>
      <c r="AZ243" s="521"/>
      <c r="BE243" s="428"/>
      <c r="BF243" s="1493" t="str">
        <f>G242</f>
        <v/>
      </c>
      <c r="BG243" s="1493"/>
      <c r="BH243" s="1493"/>
    </row>
    <row r="244" spans="1:60" ht="15" customHeight="1">
      <c r="A244" s="1240"/>
      <c r="B244" s="1272"/>
      <c r="C244" s="1261"/>
      <c r="D244" s="1261"/>
      <c r="E244" s="1261"/>
      <c r="F244" s="1262"/>
      <c r="G244" s="1266"/>
      <c r="H244" s="1266"/>
      <c r="I244" s="1266"/>
      <c r="J244" s="1372"/>
      <c r="K244" s="1266"/>
      <c r="L244" s="1451"/>
      <c r="M244" s="1448"/>
      <c r="N244" s="1371"/>
      <c r="O244" s="1368"/>
      <c r="P244" s="1390" t="s">
        <v>2179</v>
      </c>
      <c r="Q244" s="1504" t="str">
        <f>IFERROR(VLOOKUP('別紙様式2-2（４・５月分）'!AR185,【参考】数式用!$AT$5:$AV$22,3,FALSE),"")</f>
        <v/>
      </c>
      <c r="R244" s="1388" t="s">
        <v>2190</v>
      </c>
      <c r="S244" s="1396" t="str">
        <f>IFERROR(VLOOKUP(K242,【参考】数式用!$A$5:$AB$27,MATCH(Q244,【参考】数式用!$B$4:$AB$4,0)+1,0),"")</f>
        <v/>
      </c>
      <c r="T244" s="1459" t="s">
        <v>2267</v>
      </c>
      <c r="U244" s="1569"/>
      <c r="V244" s="1463" t="str">
        <f>IFERROR(VLOOKUP(K242,【参考】数式用!$A$5:$AB$27,MATCH(U244,【参考】数式用!$B$4:$AB$4,0)+1,0),"")</f>
        <v/>
      </c>
      <c r="W244" s="1465" t="s">
        <v>19</v>
      </c>
      <c r="X244" s="1564"/>
      <c r="Y244" s="1407" t="s">
        <v>10</v>
      </c>
      <c r="Z244" s="1564"/>
      <c r="AA244" s="1407" t="s">
        <v>45</v>
      </c>
      <c r="AB244" s="1564"/>
      <c r="AC244" s="1407" t="s">
        <v>10</v>
      </c>
      <c r="AD244" s="1564"/>
      <c r="AE244" s="1407" t="s">
        <v>2172</v>
      </c>
      <c r="AF244" s="1407" t="s">
        <v>24</v>
      </c>
      <c r="AG244" s="1407" t="str">
        <f>IF(X244&gt;=1,(AB244*12+AD244)-(X244*12+Z244)+1,"")</f>
        <v/>
      </c>
      <c r="AH244" s="1409" t="s">
        <v>38</v>
      </c>
      <c r="AI244" s="1411" t="str">
        <f t="shared" ref="AI244" si="279">IFERROR(ROUNDDOWN(ROUND(L242*V244,0)*M242,0)*AG244,"")</f>
        <v/>
      </c>
      <c r="AJ244" s="1577" t="str">
        <f>IFERROR(ROUNDDOWN(ROUND((L242*(V244-AX242)),0)*M242,0)*AG244,"")</f>
        <v/>
      </c>
      <c r="AK244" s="1494" t="str">
        <f>IFERROR(ROUNDDOWN(ROUNDDOWN(ROUND(L242*VLOOKUP(K242,【参考】数式用!$A$5:$AB$27,MATCH("新加算Ⅳ",【参考】数式用!$B$4:$AB$4,0)+1,0),0)*M242,0)*AG244*0.5,0),"")</f>
        <v/>
      </c>
      <c r="AL244" s="1579"/>
      <c r="AM244" s="1585" t="str">
        <f>IFERROR(IF('別紙様式2-2（４・５月分）'!Q187="ベア加算","", IF(OR(U244="新加算Ⅰ",U244="新加算Ⅱ",U244="新加算Ⅲ",U244="新加算Ⅳ"),ROUNDDOWN(ROUND(L242*VLOOKUP(K242,【参考】数式用!$A$5:$I$27,MATCH("ベア加算",【参考】数式用!$B$4:$I$4,0)+1,0),0)*M242,0)*AG244,"")),"")</f>
        <v/>
      </c>
      <c r="AN244" s="1548"/>
      <c r="AO244" s="1554"/>
      <c r="AP244" s="1552"/>
      <c r="AQ244" s="1554"/>
      <c r="AR244" s="1556"/>
      <c r="AS244" s="1558"/>
      <c r="AT244" s="1532"/>
      <c r="AU244" s="542"/>
      <c r="AV244" s="1493" t="str">
        <f t="shared" ref="AV244" si="280">IF(OR(AB242&lt;&gt;7,AD242&lt;&gt;3),"V列に色付け","")</f>
        <v/>
      </c>
      <c r="AW244" s="1518"/>
      <c r="AX244" s="1507"/>
      <c r="AY244" s="671"/>
      <c r="AZ244" s="1321" t="str">
        <f>IF(AM244&lt;&gt;"",IF(AN244="○","入力済","未入力"),"")</f>
        <v/>
      </c>
      <c r="BA244" s="1321"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321" t="str">
        <f>IF(OR(U244="新加算Ⅴ（７）",U244="新加算Ⅴ（９）",U244="新加算Ⅴ（10）",U244="新加算Ⅴ（12）",U244="新加算Ⅴ（13）",U244="新加算Ⅴ（14）"),IF(OR(AP244="○",AP244="令和６年度中に満たす"),"入力済","未入力"),"")</f>
        <v/>
      </c>
      <c r="BC244" s="1321" t="str">
        <f>IF(OR(U244="新加算Ⅰ",U244="新加算Ⅱ",U244="新加算Ⅲ",U244="新加算Ⅴ（１）",U244="新加算Ⅴ（３）",U244="新加算Ⅴ（８）"),IF(OR(AQ244="○",AQ244="令和６年度中に満たす"),"入力済","未入力"),"")</f>
        <v/>
      </c>
      <c r="BD244" s="1588"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493" t="str">
        <f>IF(OR(U244="新加算Ⅰ",U244="新加算Ⅴ（１）",U244="新加算Ⅴ（２）",U244="新加算Ⅴ（５）",U244="新加算Ⅴ（７）",U244="新加算Ⅴ（10）"),IF(AS244="","未入力","入力済"),"")</f>
        <v/>
      </c>
      <c r="BF244" s="1493" t="str">
        <f>G242</f>
        <v/>
      </c>
      <c r="BG244" s="1493"/>
      <c r="BH244" s="1493"/>
    </row>
    <row r="245" spans="1:60" ht="30" customHeight="1" thickBot="1">
      <c r="A245" s="1227"/>
      <c r="B245" s="1376"/>
      <c r="C245" s="1377"/>
      <c r="D245" s="1377"/>
      <c r="E245" s="1377"/>
      <c r="F245" s="1378"/>
      <c r="G245" s="1267"/>
      <c r="H245" s="1267"/>
      <c r="I245" s="1267"/>
      <c r="J245" s="1373"/>
      <c r="K245" s="1267"/>
      <c r="L245" s="1452"/>
      <c r="M245" s="1449"/>
      <c r="N245" s="650" t="str">
        <f>IF('別紙様式2-2（４・５月分）'!Q187="","",'別紙様式2-2（４・５月分）'!Q187)</f>
        <v/>
      </c>
      <c r="O245" s="1369"/>
      <c r="P245" s="1391"/>
      <c r="Q245" s="1505"/>
      <c r="R245" s="1389"/>
      <c r="S245" s="1395"/>
      <c r="T245" s="1460"/>
      <c r="U245" s="1570"/>
      <c r="V245" s="1464"/>
      <c r="W245" s="1466"/>
      <c r="X245" s="1565"/>
      <c r="Y245" s="1408"/>
      <c r="Z245" s="1565"/>
      <c r="AA245" s="1408"/>
      <c r="AB245" s="1565"/>
      <c r="AC245" s="1408"/>
      <c r="AD245" s="1565"/>
      <c r="AE245" s="1408"/>
      <c r="AF245" s="1408"/>
      <c r="AG245" s="1408"/>
      <c r="AH245" s="1410"/>
      <c r="AI245" s="1412"/>
      <c r="AJ245" s="1578"/>
      <c r="AK245" s="1495"/>
      <c r="AL245" s="1580"/>
      <c r="AM245" s="1586"/>
      <c r="AN245" s="1549"/>
      <c r="AO245" s="1555"/>
      <c r="AP245" s="1553"/>
      <c r="AQ245" s="1555"/>
      <c r="AR245" s="1557"/>
      <c r="AS245" s="1559"/>
      <c r="AT245" s="672" t="str">
        <f t="shared" ref="AT245" si="281">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42"/>
      <c r="AV245" s="1493"/>
      <c r="AW245" s="652" t="str">
        <f>IF('別紙様式2-2（４・５月分）'!O187="","",'別紙様式2-2（４・５月分）'!O187)</f>
        <v/>
      </c>
      <c r="AX245" s="1507"/>
      <c r="AY245" s="673"/>
      <c r="AZ245" s="1321" t="str">
        <f>IF(OR(U245="新加算Ⅰ",U245="新加算Ⅱ",U245="新加算Ⅲ",U245="新加算Ⅳ",U245="新加算Ⅴ（１）",U245="新加算Ⅴ（２）",U245="新加算Ⅴ（３）",U245="新加算ⅠⅤ（４）",U245="新加算Ⅴ（５）",U245="新加算Ⅴ（６）",U245="新加算Ⅴ（８）",U245="新加算Ⅴ（11）"),IF(AJ245="○","","未入力"),"")</f>
        <v/>
      </c>
      <c r="BA245" s="1321" t="str">
        <f>IF(OR(V245="新加算Ⅰ",V245="新加算Ⅱ",V245="新加算Ⅲ",V245="新加算Ⅳ",V245="新加算Ⅴ（１）",V245="新加算Ⅴ（２）",V245="新加算Ⅴ（３）",V245="新加算ⅠⅤ（４）",V245="新加算Ⅴ（５）",V245="新加算Ⅴ（６）",V245="新加算Ⅴ（８）",V245="新加算Ⅴ（11）"),IF(AK245="○","","未入力"),"")</f>
        <v/>
      </c>
      <c r="BB245" s="1321" t="str">
        <f>IF(OR(V245="新加算Ⅴ（７）",V245="新加算Ⅴ（９）",V245="新加算Ⅴ（10）",V245="新加算Ⅴ（12）",V245="新加算Ⅴ（13）",V245="新加算Ⅴ（14）"),IF(AL245="○","","未入力"),"")</f>
        <v/>
      </c>
      <c r="BC245" s="1321" t="str">
        <f>IF(OR(V245="新加算Ⅰ",V245="新加算Ⅱ",V245="新加算Ⅲ",V245="新加算Ⅴ（１）",V245="新加算Ⅴ（３）",V245="新加算Ⅴ（８）"),IF(AM245="○","","未入力"),"")</f>
        <v/>
      </c>
      <c r="BD245" s="1588"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493" t="str">
        <f>IF(AND(U245&lt;&gt;"（参考）令和７年度の移行予定",OR(V245="新加算Ⅰ",V245="新加算Ⅴ（１）",V245="新加算Ⅴ（２）",V245="新加算Ⅴ（５）",V245="新加算Ⅴ（７）",V245="新加算Ⅴ（10）")),IF(AO245="","未入力",IF(AO245="いずれも取得していない","要件を満たさない","")),"")</f>
        <v/>
      </c>
      <c r="BF245" s="1493" t="str">
        <f>G242</f>
        <v/>
      </c>
      <c r="BG245" s="1493"/>
      <c r="BH245" s="1493"/>
    </row>
    <row r="246" spans="1:60" ht="30" customHeight="1">
      <c r="A246" s="1225">
        <v>59</v>
      </c>
      <c r="B246" s="1272" t="str">
        <f>IF(基本情報入力シート!C112="","",基本情報入力シート!C112)</f>
        <v/>
      </c>
      <c r="C246" s="1261"/>
      <c r="D246" s="1261"/>
      <c r="E246" s="1261"/>
      <c r="F246" s="1262"/>
      <c r="G246" s="1266" t="str">
        <f>IF(基本情報入力シート!M112="","",基本情報入力シート!M112)</f>
        <v/>
      </c>
      <c r="H246" s="1266" t="str">
        <f>IF(基本情報入力シート!R112="","",基本情報入力シート!R112)</f>
        <v/>
      </c>
      <c r="I246" s="1266" t="str">
        <f>IF(基本情報入力シート!W112="","",基本情報入力シート!W112)</f>
        <v/>
      </c>
      <c r="J246" s="1372" t="str">
        <f>IF(基本情報入力シート!X112="","",基本情報入力シート!X112)</f>
        <v/>
      </c>
      <c r="K246" s="1266" t="str">
        <f>IF(基本情報入力シート!Y112="","",基本情報入力シート!Y112)</f>
        <v/>
      </c>
      <c r="L246" s="1451" t="str">
        <f>IF(基本情報入力シート!AB112="","",基本情報入力シート!AB112)</f>
        <v/>
      </c>
      <c r="M246" s="1453" t="str">
        <f>IF(基本情報入力シート!AC112="","",基本情報入力シート!AC112)</f>
        <v/>
      </c>
      <c r="N246" s="647" t="str">
        <f>IF('別紙様式2-2（４・５月分）'!Q188="","",'別紙様式2-2（４・５月分）'!Q188)</f>
        <v/>
      </c>
      <c r="O246" s="1366" t="str">
        <f>IF(SUM('別紙様式2-2（４・５月分）'!R188:R190)=0,"",SUM('別紙様式2-2（４・５月分）'!R188:R190))</f>
        <v/>
      </c>
      <c r="P246" s="1380" t="str">
        <f>IFERROR(VLOOKUP('別紙様式2-2（４・５月分）'!AR188,【参考】数式用!$AT$5:$AU$22,2,FALSE),"")</f>
        <v/>
      </c>
      <c r="Q246" s="1381"/>
      <c r="R246" s="1382"/>
      <c r="S246" s="1392" t="str">
        <f>IFERROR(VLOOKUP(K246,【参考】数式用!$A$5:$AB$27,MATCH(P246,【参考】数式用!$B$4:$AB$4,0)+1,0),"")</f>
        <v/>
      </c>
      <c r="T246" s="1413" t="s">
        <v>2258</v>
      </c>
      <c r="U246" s="1562" t="str">
        <f>IF('別紙様式2-3（６月以降分）'!U246="","",'別紙様式2-3（６月以降分）'!U246)</f>
        <v/>
      </c>
      <c r="V246" s="1457" t="str">
        <f>IFERROR(VLOOKUP(K246,【参考】数式用!$A$5:$AB$27,MATCH(U246,【参考】数式用!$B$4:$AB$4,0)+1,0),"")</f>
        <v/>
      </c>
      <c r="W246" s="1350" t="s">
        <v>19</v>
      </c>
      <c r="X246" s="1534">
        <f>'別紙様式2-3（６月以降分）'!X246</f>
        <v>6</v>
      </c>
      <c r="Y246" s="1354" t="s">
        <v>10</v>
      </c>
      <c r="Z246" s="1534">
        <f>'別紙様式2-3（６月以降分）'!Z246</f>
        <v>6</v>
      </c>
      <c r="AA246" s="1354" t="s">
        <v>45</v>
      </c>
      <c r="AB246" s="1534">
        <f>'別紙様式2-3（６月以降分）'!AB246</f>
        <v>7</v>
      </c>
      <c r="AC246" s="1354" t="s">
        <v>10</v>
      </c>
      <c r="AD246" s="1534">
        <f>'別紙様式2-3（６月以降分）'!AD246</f>
        <v>3</v>
      </c>
      <c r="AE246" s="1354" t="s">
        <v>2172</v>
      </c>
      <c r="AF246" s="1354" t="s">
        <v>24</v>
      </c>
      <c r="AG246" s="1354">
        <f>IF(X246&gt;=1,(AB246*12+AD246)-(X246*12+Z246)+1,"")</f>
        <v>10</v>
      </c>
      <c r="AH246" s="1360" t="s">
        <v>38</v>
      </c>
      <c r="AI246" s="1481" t="str">
        <f>'別紙様式2-3（６月以降分）'!AI246</f>
        <v/>
      </c>
      <c r="AJ246" s="1542" t="str">
        <f>'別紙様式2-3（６月以降分）'!AJ246</f>
        <v/>
      </c>
      <c r="AK246" s="1538">
        <f>'別紙様式2-3（６月以降分）'!AK246</f>
        <v>0</v>
      </c>
      <c r="AL246" s="1540" t="str">
        <f>IF('別紙様式2-3（６月以降分）'!AL246="","",'別紙様式2-3（６月以降分）'!AL246)</f>
        <v/>
      </c>
      <c r="AM246" s="1571">
        <f>'別紙様式2-3（６月以降分）'!AM246</f>
        <v>0</v>
      </c>
      <c r="AN246" s="1573" t="str">
        <f>IF('別紙様式2-3（６月以降分）'!AN246="","",'別紙様式2-3（６月以降分）'!AN246)</f>
        <v/>
      </c>
      <c r="AO246" s="1403" t="str">
        <f>IF('別紙様式2-3（６月以降分）'!AO246="","",'別紙様式2-3（６月以降分）'!AO246)</f>
        <v/>
      </c>
      <c r="AP246" s="1502" t="str">
        <f>IF('別紙様式2-3（６月以降分）'!AP246="","",'別紙様式2-3（６月以降分）'!AP246)</f>
        <v/>
      </c>
      <c r="AQ246" s="1403" t="str">
        <f>IF('別紙様式2-3（６月以降分）'!AQ246="","",'別紙様式2-3（６月以降分）'!AQ246)</f>
        <v/>
      </c>
      <c r="AR246" s="1583" t="str">
        <f>IF('別紙様式2-3（６月以降分）'!AR246="","",'別紙様式2-3（６月以降分）'!AR246)</f>
        <v/>
      </c>
      <c r="AS246" s="1536" t="str">
        <f>IF('別紙様式2-3（６月以降分）'!AS246="","",'別紙様式2-3（６月以降分）'!AS246)</f>
        <v/>
      </c>
      <c r="AT246" s="667" t="str">
        <f t="shared" ref="AT246" si="282">IF(AV248="","",IF(V248&lt;V246,"！加算の要件上は問題ありませんが、令和６年度当初の新加算の加算率と比較して、移行後の加算率が下がる計画になっています。",""))</f>
        <v/>
      </c>
      <c r="AU246" s="674"/>
      <c r="AV246" s="1233"/>
      <c r="AW246" s="652" t="str">
        <f>IF('別紙様式2-2（４・５月分）'!O188="","",'別紙様式2-2（４・５月分）'!O188)</f>
        <v/>
      </c>
      <c r="AX246" s="1507" t="str">
        <f>IF(SUM('別紙様式2-2（４・５月分）'!P188:P190)=0,"",SUM('別紙様式2-2（４・５月分）'!P188:P190))</f>
        <v/>
      </c>
      <c r="AY246" s="1590" t="str">
        <f>IFERROR(VLOOKUP(K246,【参考】数式用!$AJ$2:$AK$24,2,FALSE),"")</f>
        <v/>
      </c>
      <c r="AZ246" s="584"/>
      <c r="BE246" s="428"/>
      <c r="BF246" s="1493" t="str">
        <f>G246</f>
        <v/>
      </c>
      <c r="BG246" s="1493"/>
      <c r="BH246" s="1493"/>
    </row>
    <row r="247" spans="1:60" ht="15" customHeight="1">
      <c r="A247" s="1226"/>
      <c r="B247" s="1272"/>
      <c r="C247" s="1261"/>
      <c r="D247" s="1261"/>
      <c r="E247" s="1261"/>
      <c r="F247" s="1262"/>
      <c r="G247" s="1266"/>
      <c r="H247" s="1266"/>
      <c r="I247" s="1266"/>
      <c r="J247" s="1372"/>
      <c r="K247" s="1266"/>
      <c r="L247" s="1451"/>
      <c r="M247" s="1453"/>
      <c r="N247" s="1370" t="str">
        <f>IF('別紙様式2-2（４・５月分）'!Q189="","",'別紙様式2-2（４・５月分）'!Q189)</f>
        <v/>
      </c>
      <c r="O247" s="1367"/>
      <c r="P247" s="1383"/>
      <c r="Q247" s="1384"/>
      <c r="R247" s="1385"/>
      <c r="S247" s="1393"/>
      <c r="T247" s="1414"/>
      <c r="U247" s="1563"/>
      <c r="V247" s="1458"/>
      <c r="W247" s="1351"/>
      <c r="X247" s="1535"/>
      <c r="Y247" s="1355"/>
      <c r="Z247" s="1535"/>
      <c r="AA247" s="1355"/>
      <c r="AB247" s="1535"/>
      <c r="AC247" s="1355"/>
      <c r="AD247" s="1535"/>
      <c r="AE247" s="1355"/>
      <c r="AF247" s="1355"/>
      <c r="AG247" s="1355"/>
      <c r="AH247" s="1361"/>
      <c r="AI247" s="1482"/>
      <c r="AJ247" s="1543"/>
      <c r="AK247" s="1539"/>
      <c r="AL247" s="1541"/>
      <c r="AM247" s="1572"/>
      <c r="AN247" s="1574"/>
      <c r="AO247" s="1404"/>
      <c r="AP247" s="1533"/>
      <c r="AQ247" s="1404"/>
      <c r="AR247" s="1584"/>
      <c r="AS247" s="1537"/>
      <c r="AT247" s="1532" t="str">
        <f t="shared" ref="AT247" si="283">IF(AV248="","",IF(OR(AB248="",AB248&lt;&gt;7,AD248="",AD248&lt;&gt;3),"！算定期間の終わりが令和７年３月になっていません。年度内の廃止予定等がなければ、算定対象月を令和７年３月にしてください。",""))</f>
        <v/>
      </c>
      <c r="AU247" s="674"/>
      <c r="AV247" s="1493"/>
      <c r="AW247" s="1518" t="str">
        <f>IF('別紙様式2-2（４・５月分）'!O189="","",'別紙様式2-2（４・５月分）'!O189)</f>
        <v/>
      </c>
      <c r="AX247" s="1507"/>
      <c r="AY247" s="1589"/>
      <c r="AZ247" s="521"/>
      <c r="BE247" s="428"/>
      <c r="BF247" s="1493" t="str">
        <f>G246</f>
        <v/>
      </c>
      <c r="BG247" s="1493"/>
      <c r="BH247" s="1493"/>
    </row>
    <row r="248" spans="1:60" ht="15" customHeight="1">
      <c r="A248" s="1240"/>
      <c r="B248" s="1272"/>
      <c r="C248" s="1261"/>
      <c r="D248" s="1261"/>
      <c r="E248" s="1261"/>
      <c r="F248" s="1262"/>
      <c r="G248" s="1266"/>
      <c r="H248" s="1266"/>
      <c r="I248" s="1266"/>
      <c r="J248" s="1372"/>
      <c r="K248" s="1266"/>
      <c r="L248" s="1451"/>
      <c r="M248" s="1453"/>
      <c r="N248" s="1371"/>
      <c r="O248" s="1368"/>
      <c r="P248" s="1390" t="s">
        <v>2179</v>
      </c>
      <c r="Q248" s="1504" t="str">
        <f>IFERROR(VLOOKUP('別紙様式2-2（４・５月分）'!AR188,【参考】数式用!$AT$5:$AV$22,3,FALSE),"")</f>
        <v/>
      </c>
      <c r="R248" s="1388" t="s">
        <v>2190</v>
      </c>
      <c r="S248" s="1394" t="str">
        <f>IFERROR(VLOOKUP(K246,【参考】数式用!$A$5:$AB$27,MATCH(Q248,【参考】数式用!$B$4:$AB$4,0)+1,0),"")</f>
        <v/>
      </c>
      <c r="T248" s="1459" t="s">
        <v>2267</v>
      </c>
      <c r="U248" s="1569"/>
      <c r="V248" s="1463" t="str">
        <f>IFERROR(VLOOKUP(K246,【参考】数式用!$A$5:$AB$27,MATCH(U248,【参考】数式用!$B$4:$AB$4,0)+1,0),"")</f>
        <v/>
      </c>
      <c r="W248" s="1465" t="s">
        <v>19</v>
      </c>
      <c r="X248" s="1564"/>
      <c r="Y248" s="1407" t="s">
        <v>10</v>
      </c>
      <c r="Z248" s="1564"/>
      <c r="AA248" s="1407" t="s">
        <v>45</v>
      </c>
      <c r="AB248" s="1564"/>
      <c r="AC248" s="1407" t="s">
        <v>10</v>
      </c>
      <c r="AD248" s="1564"/>
      <c r="AE248" s="1407" t="s">
        <v>2172</v>
      </c>
      <c r="AF248" s="1407" t="s">
        <v>24</v>
      </c>
      <c r="AG248" s="1407" t="str">
        <f>IF(X248&gt;=1,(AB248*12+AD248)-(X248*12+Z248)+1,"")</f>
        <v/>
      </c>
      <c r="AH248" s="1409" t="s">
        <v>38</v>
      </c>
      <c r="AI248" s="1411" t="str">
        <f t="shared" ref="AI248" si="284">IFERROR(ROUNDDOWN(ROUND(L246*V248,0)*M246,0)*AG248,"")</f>
        <v/>
      </c>
      <c r="AJ248" s="1577" t="str">
        <f>IFERROR(ROUNDDOWN(ROUND((L246*(V248-AX246)),0)*M246,0)*AG248,"")</f>
        <v/>
      </c>
      <c r="AK248" s="1494" t="str">
        <f>IFERROR(ROUNDDOWN(ROUNDDOWN(ROUND(L246*VLOOKUP(K246,【参考】数式用!$A$5:$AB$27,MATCH("新加算Ⅳ",【参考】数式用!$B$4:$AB$4,0)+1,0),0)*M246,0)*AG248*0.5,0),"")</f>
        <v/>
      </c>
      <c r="AL248" s="1579"/>
      <c r="AM248" s="1585" t="str">
        <f>IFERROR(IF('別紙様式2-2（４・５月分）'!Q190="ベア加算","", IF(OR(U248="新加算Ⅰ",U248="新加算Ⅱ",U248="新加算Ⅲ",U248="新加算Ⅳ"),ROUNDDOWN(ROUND(L246*VLOOKUP(K246,【参考】数式用!$A$5:$I$27,MATCH("ベア加算",【参考】数式用!$B$4:$I$4,0)+1,0),0)*M246,0)*AG248,"")),"")</f>
        <v/>
      </c>
      <c r="AN248" s="1548"/>
      <c r="AO248" s="1554"/>
      <c r="AP248" s="1552"/>
      <c r="AQ248" s="1554"/>
      <c r="AR248" s="1556"/>
      <c r="AS248" s="1558"/>
      <c r="AT248" s="1532"/>
      <c r="AU248" s="542"/>
      <c r="AV248" s="1493" t="str">
        <f t="shared" ref="AV248" si="285">IF(OR(AB246&lt;&gt;7,AD246&lt;&gt;3),"V列に色付け","")</f>
        <v/>
      </c>
      <c r="AW248" s="1518"/>
      <c r="AX248" s="1507"/>
      <c r="AY248" s="671"/>
      <c r="AZ248" s="1321" t="str">
        <f>IF(AM248&lt;&gt;"",IF(AN248="○","入力済","未入力"),"")</f>
        <v/>
      </c>
      <c r="BA248" s="1321"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321" t="str">
        <f>IF(OR(U248="新加算Ⅴ（７）",U248="新加算Ⅴ（９）",U248="新加算Ⅴ（10）",U248="新加算Ⅴ（12）",U248="新加算Ⅴ（13）",U248="新加算Ⅴ（14）"),IF(OR(AP248="○",AP248="令和６年度中に満たす"),"入力済","未入力"),"")</f>
        <v/>
      </c>
      <c r="BC248" s="1321" t="str">
        <f>IF(OR(U248="新加算Ⅰ",U248="新加算Ⅱ",U248="新加算Ⅲ",U248="新加算Ⅴ（１）",U248="新加算Ⅴ（３）",U248="新加算Ⅴ（８）"),IF(OR(AQ248="○",AQ248="令和６年度中に満たす"),"入力済","未入力"),"")</f>
        <v/>
      </c>
      <c r="BD248" s="1588"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493" t="str">
        <f>IF(OR(U248="新加算Ⅰ",U248="新加算Ⅴ（１）",U248="新加算Ⅴ（２）",U248="新加算Ⅴ（５）",U248="新加算Ⅴ（７）",U248="新加算Ⅴ（10）"),IF(AS248="","未入力","入力済"),"")</f>
        <v/>
      </c>
      <c r="BF248" s="1493" t="str">
        <f>G246</f>
        <v/>
      </c>
      <c r="BG248" s="1493"/>
      <c r="BH248" s="1493"/>
    </row>
    <row r="249" spans="1:60" ht="30" customHeight="1" thickBot="1">
      <c r="A249" s="1227"/>
      <c r="B249" s="1376"/>
      <c r="C249" s="1377"/>
      <c r="D249" s="1377"/>
      <c r="E249" s="1377"/>
      <c r="F249" s="1378"/>
      <c r="G249" s="1267"/>
      <c r="H249" s="1267"/>
      <c r="I249" s="1267"/>
      <c r="J249" s="1373"/>
      <c r="K249" s="1267"/>
      <c r="L249" s="1452"/>
      <c r="M249" s="1454"/>
      <c r="N249" s="650" t="str">
        <f>IF('別紙様式2-2（４・５月分）'!Q190="","",'別紙様式2-2（４・５月分）'!Q190)</f>
        <v/>
      </c>
      <c r="O249" s="1369"/>
      <c r="P249" s="1391"/>
      <c r="Q249" s="1505"/>
      <c r="R249" s="1389"/>
      <c r="S249" s="1395"/>
      <c r="T249" s="1460"/>
      <c r="U249" s="1570"/>
      <c r="V249" s="1464"/>
      <c r="W249" s="1466"/>
      <c r="X249" s="1565"/>
      <c r="Y249" s="1408"/>
      <c r="Z249" s="1565"/>
      <c r="AA249" s="1408"/>
      <c r="AB249" s="1565"/>
      <c r="AC249" s="1408"/>
      <c r="AD249" s="1565"/>
      <c r="AE249" s="1408"/>
      <c r="AF249" s="1408"/>
      <c r="AG249" s="1408"/>
      <c r="AH249" s="1410"/>
      <c r="AI249" s="1412"/>
      <c r="AJ249" s="1578"/>
      <c r="AK249" s="1495"/>
      <c r="AL249" s="1580"/>
      <c r="AM249" s="1586"/>
      <c r="AN249" s="1549"/>
      <c r="AO249" s="1555"/>
      <c r="AP249" s="1553"/>
      <c r="AQ249" s="1555"/>
      <c r="AR249" s="1557"/>
      <c r="AS249" s="1559"/>
      <c r="AT249" s="672" t="str">
        <f t="shared" ref="AT249" si="286">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42"/>
      <c r="AV249" s="1493"/>
      <c r="AW249" s="652" t="str">
        <f>IF('別紙様式2-2（４・５月分）'!O190="","",'別紙様式2-2（４・５月分）'!O190)</f>
        <v/>
      </c>
      <c r="AX249" s="1507"/>
      <c r="AY249" s="673"/>
      <c r="AZ249" s="1321" t="str">
        <f>IF(OR(U249="新加算Ⅰ",U249="新加算Ⅱ",U249="新加算Ⅲ",U249="新加算Ⅳ",U249="新加算Ⅴ（１）",U249="新加算Ⅴ（２）",U249="新加算Ⅴ（３）",U249="新加算ⅠⅤ（４）",U249="新加算Ⅴ（５）",U249="新加算Ⅴ（６）",U249="新加算Ⅴ（８）",U249="新加算Ⅴ（11）"),IF(AJ249="○","","未入力"),"")</f>
        <v/>
      </c>
      <c r="BA249" s="1321" t="str">
        <f>IF(OR(V249="新加算Ⅰ",V249="新加算Ⅱ",V249="新加算Ⅲ",V249="新加算Ⅳ",V249="新加算Ⅴ（１）",V249="新加算Ⅴ（２）",V249="新加算Ⅴ（３）",V249="新加算ⅠⅤ（４）",V249="新加算Ⅴ（５）",V249="新加算Ⅴ（６）",V249="新加算Ⅴ（８）",V249="新加算Ⅴ（11）"),IF(AK249="○","","未入力"),"")</f>
        <v/>
      </c>
      <c r="BB249" s="1321" t="str">
        <f>IF(OR(V249="新加算Ⅴ（７）",V249="新加算Ⅴ（９）",V249="新加算Ⅴ（10）",V249="新加算Ⅴ（12）",V249="新加算Ⅴ（13）",V249="新加算Ⅴ（14）"),IF(AL249="○","","未入力"),"")</f>
        <v/>
      </c>
      <c r="BC249" s="1321" t="str">
        <f>IF(OR(V249="新加算Ⅰ",V249="新加算Ⅱ",V249="新加算Ⅲ",V249="新加算Ⅴ（１）",V249="新加算Ⅴ（３）",V249="新加算Ⅴ（８）"),IF(AM249="○","","未入力"),"")</f>
        <v/>
      </c>
      <c r="BD249" s="1588"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493" t="str">
        <f>IF(AND(U249&lt;&gt;"（参考）令和７年度の移行予定",OR(V249="新加算Ⅰ",V249="新加算Ⅴ（１）",V249="新加算Ⅴ（２）",V249="新加算Ⅴ（５）",V249="新加算Ⅴ（７）",V249="新加算Ⅴ（10）")),IF(AO249="","未入力",IF(AO249="いずれも取得していない","要件を満たさない","")),"")</f>
        <v/>
      </c>
      <c r="BF249" s="1493" t="str">
        <f>G246</f>
        <v/>
      </c>
      <c r="BG249" s="1493"/>
      <c r="BH249" s="1493"/>
    </row>
    <row r="250" spans="1:60" ht="30" customHeight="1">
      <c r="A250" s="1241">
        <v>60</v>
      </c>
      <c r="B250" s="1271" t="str">
        <f>IF(基本情報入力シート!C113="","",基本情報入力シート!C113)</f>
        <v/>
      </c>
      <c r="C250" s="1259"/>
      <c r="D250" s="1259"/>
      <c r="E250" s="1259"/>
      <c r="F250" s="1260"/>
      <c r="G250" s="1265" t="str">
        <f>IF(基本情報入力シート!M113="","",基本情報入力シート!M113)</f>
        <v/>
      </c>
      <c r="H250" s="1265" t="str">
        <f>IF(基本情報入力シート!R113="","",基本情報入力シート!R113)</f>
        <v/>
      </c>
      <c r="I250" s="1265" t="str">
        <f>IF(基本情報入力シート!W113="","",基本情報入力シート!W113)</f>
        <v/>
      </c>
      <c r="J250" s="1379" t="str">
        <f>IF(基本情報入力シート!X113="","",基本情報入力シート!X113)</f>
        <v/>
      </c>
      <c r="K250" s="1265" t="str">
        <f>IF(基本情報入力シート!Y113="","",基本情報入力シート!Y113)</f>
        <v/>
      </c>
      <c r="L250" s="1450" t="str">
        <f>IF(基本情報入力シート!AB113="","",基本情報入力シート!AB113)</f>
        <v/>
      </c>
      <c r="M250" s="1447" t="str">
        <f>IF(基本情報入力シート!AC113="","",基本情報入力シート!AC113)</f>
        <v/>
      </c>
      <c r="N250" s="647" t="str">
        <f>IF('別紙様式2-2（４・５月分）'!Q191="","",'別紙様式2-2（４・５月分）'!Q191)</f>
        <v/>
      </c>
      <c r="O250" s="1366" t="str">
        <f>IF(SUM('別紙様式2-2（４・５月分）'!R191:R193)=0,"",SUM('別紙様式2-2（４・５月分）'!R191:R193))</f>
        <v/>
      </c>
      <c r="P250" s="1380" t="str">
        <f>IFERROR(VLOOKUP('別紙様式2-2（４・５月分）'!AR191,【参考】数式用!$AT$5:$AU$22,2,FALSE),"")</f>
        <v/>
      </c>
      <c r="Q250" s="1381"/>
      <c r="R250" s="1382"/>
      <c r="S250" s="1392" t="str">
        <f>IFERROR(VLOOKUP(K250,【参考】数式用!$A$5:$AB$27,MATCH(P250,【参考】数式用!$B$4:$AB$4,0)+1,0),"")</f>
        <v/>
      </c>
      <c r="T250" s="1413" t="s">
        <v>2258</v>
      </c>
      <c r="U250" s="1562" t="str">
        <f>IF('別紙様式2-3（６月以降分）'!U250="","",'別紙様式2-3（６月以降分）'!U250)</f>
        <v/>
      </c>
      <c r="V250" s="1457" t="str">
        <f>IFERROR(VLOOKUP(K250,【参考】数式用!$A$5:$AB$27,MATCH(U250,【参考】数式用!$B$4:$AB$4,0)+1,0),"")</f>
        <v/>
      </c>
      <c r="W250" s="1350" t="s">
        <v>19</v>
      </c>
      <c r="X250" s="1534">
        <f>'別紙様式2-3（６月以降分）'!X250</f>
        <v>6</v>
      </c>
      <c r="Y250" s="1354" t="s">
        <v>10</v>
      </c>
      <c r="Z250" s="1534">
        <f>'別紙様式2-3（６月以降分）'!Z250</f>
        <v>6</v>
      </c>
      <c r="AA250" s="1354" t="s">
        <v>45</v>
      </c>
      <c r="AB250" s="1534">
        <f>'別紙様式2-3（６月以降分）'!AB250</f>
        <v>7</v>
      </c>
      <c r="AC250" s="1354" t="s">
        <v>10</v>
      </c>
      <c r="AD250" s="1534">
        <f>'別紙様式2-3（６月以降分）'!AD250</f>
        <v>3</v>
      </c>
      <c r="AE250" s="1354" t="s">
        <v>2172</v>
      </c>
      <c r="AF250" s="1354" t="s">
        <v>24</v>
      </c>
      <c r="AG250" s="1354">
        <f>IF(X250&gt;=1,(AB250*12+AD250)-(X250*12+Z250)+1,"")</f>
        <v>10</v>
      </c>
      <c r="AH250" s="1360" t="s">
        <v>38</v>
      </c>
      <c r="AI250" s="1481" t="str">
        <f>'別紙様式2-3（６月以降分）'!AI250</f>
        <v/>
      </c>
      <c r="AJ250" s="1542" t="str">
        <f>'別紙様式2-3（６月以降分）'!AJ250</f>
        <v/>
      </c>
      <c r="AK250" s="1538">
        <f>'別紙様式2-3（６月以降分）'!AK250</f>
        <v>0</v>
      </c>
      <c r="AL250" s="1540" t="str">
        <f>IF('別紙様式2-3（６月以降分）'!AL250="","",'別紙様式2-3（６月以降分）'!AL250)</f>
        <v/>
      </c>
      <c r="AM250" s="1571">
        <f>'別紙様式2-3（６月以降分）'!AM250</f>
        <v>0</v>
      </c>
      <c r="AN250" s="1573" t="str">
        <f>IF('別紙様式2-3（６月以降分）'!AN250="","",'別紙様式2-3（６月以降分）'!AN250)</f>
        <v/>
      </c>
      <c r="AO250" s="1403" t="str">
        <f>IF('別紙様式2-3（６月以降分）'!AO250="","",'別紙様式2-3（６月以降分）'!AO250)</f>
        <v/>
      </c>
      <c r="AP250" s="1502" t="str">
        <f>IF('別紙様式2-3（６月以降分）'!AP250="","",'別紙様式2-3（６月以降分）'!AP250)</f>
        <v/>
      </c>
      <c r="AQ250" s="1403" t="str">
        <f>IF('別紙様式2-3（６月以降分）'!AQ250="","",'別紙様式2-3（６月以降分）'!AQ250)</f>
        <v/>
      </c>
      <c r="AR250" s="1583" t="str">
        <f>IF('別紙様式2-3（６月以降分）'!AR250="","",'別紙様式2-3（６月以降分）'!AR250)</f>
        <v/>
      </c>
      <c r="AS250" s="1536" t="str">
        <f>IF('別紙様式2-3（６月以降分）'!AS250="","",'別紙様式2-3（６月以降分）'!AS250)</f>
        <v/>
      </c>
      <c r="AT250" s="667" t="str">
        <f t="shared" ref="AT250" si="287">IF(AV252="","",IF(V252&lt;V250,"！加算の要件上は問題ありませんが、令和６年度当初の新加算の加算率と比較して、移行後の加算率が下がる計画になっています。",""))</f>
        <v/>
      </c>
      <c r="AU250" s="674"/>
      <c r="AV250" s="1233"/>
      <c r="AW250" s="652" t="str">
        <f>IF('別紙様式2-2（４・５月分）'!O191="","",'別紙様式2-2（４・５月分）'!O191)</f>
        <v/>
      </c>
      <c r="AX250" s="1507" t="str">
        <f>IF(SUM('別紙様式2-2（４・５月分）'!P191:P193)=0,"",SUM('別紙様式2-2（４・５月分）'!P191:P193))</f>
        <v/>
      </c>
      <c r="AY250" s="1589" t="str">
        <f>IFERROR(VLOOKUP(K250,【参考】数式用!$AJ$2:$AK$24,2,FALSE),"")</f>
        <v/>
      </c>
      <c r="AZ250" s="584"/>
      <c r="BE250" s="428"/>
      <c r="BF250" s="1493" t="str">
        <f>G250</f>
        <v/>
      </c>
      <c r="BG250" s="1493"/>
      <c r="BH250" s="1493"/>
    </row>
    <row r="251" spans="1:60" ht="15" customHeight="1">
      <c r="A251" s="1226"/>
      <c r="B251" s="1272"/>
      <c r="C251" s="1261"/>
      <c r="D251" s="1261"/>
      <c r="E251" s="1261"/>
      <c r="F251" s="1262"/>
      <c r="G251" s="1266"/>
      <c r="H251" s="1266"/>
      <c r="I251" s="1266"/>
      <c r="J251" s="1372"/>
      <c r="K251" s="1266"/>
      <c r="L251" s="1451"/>
      <c r="M251" s="1448"/>
      <c r="N251" s="1370" t="str">
        <f>IF('別紙様式2-2（４・５月分）'!Q192="","",'別紙様式2-2（４・５月分）'!Q192)</f>
        <v/>
      </c>
      <c r="O251" s="1367"/>
      <c r="P251" s="1383"/>
      <c r="Q251" s="1384"/>
      <c r="R251" s="1385"/>
      <c r="S251" s="1393"/>
      <c r="T251" s="1414"/>
      <c r="U251" s="1563"/>
      <c r="V251" s="1458"/>
      <c r="W251" s="1351"/>
      <c r="X251" s="1535"/>
      <c r="Y251" s="1355"/>
      <c r="Z251" s="1535"/>
      <c r="AA251" s="1355"/>
      <c r="AB251" s="1535"/>
      <c r="AC251" s="1355"/>
      <c r="AD251" s="1535"/>
      <c r="AE251" s="1355"/>
      <c r="AF251" s="1355"/>
      <c r="AG251" s="1355"/>
      <c r="AH251" s="1361"/>
      <c r="AI251" s="1482"/>
      <c r="AJ251" s="1543"/>
      <c r="AK251" s="1539"/>
      <c r="AL251" s="1541"/>
      <c r="AM251" s="1572"/>
      <c r="AN251" s="1574"/>
      <c r="AO251" s="1404"/>
      <c r="AP251" s="1533"/>
      <c r="AQ251" s="1404"/>
      <c r="AR251" s="1584"/>
      <c r="AS251" s="1537"/>
      <c r="AT251" s="1532" t="str">
        <f t="shared" ref="AT251" si="288">IF(AV252="","",IF(OR(AB252="",AB252&lt;&gt;7,AD252="",AD252&lt;&gt;3),"！算定期間の終わりが令和７年３月になっていません。年度内の廃止予定等がなければ、算定対象月を令和７年３月にしてください。",""))</f>
        <v/>
      </c>
      <c r="AU251" s="674"/>
      <c r="AV251" s="1493"/>
      <c r="AW251" s="1518" t="str">
        <f>IF('別紙様式2-2（４・５月分）'!O192="","",'別紙様式2-2（４・５月分）'!O192)</f>
        <v/>
      </c>
      <c r="AX251" s="1507"/>
      <c r="AY251" s="1589"/>
      <c r="AZ251" s="521"/>
      <c r="BE251" s="428"/>
      <c r="BF251" s="1493" t="str">
        <f>G250</f>
        <v/>
      </c>
      <c r="BG251" s="1493"/>
      <c r="BH251" s="1493"/>
    </row>
    <row r="252" spans="1:60" ht="15" customHeight="1">
      <c r="A252" s="1240"/>
      <c r="B252" s="1272"/>
      <c r="C252" s="1261"/>
      <c r="D252" s="1261"/>
      <c r="E252" s="1261"/>
      <c r="F252" s="1262"/>
      <c r="G252" s="1266"/>
      <c r="H252" s="1266"/>
      <c r="I252" s="1266"/>
      <c r="J252" s="1372"/>
      <c r="K252" s="1266"/>
      <c r="L252" s="1451"/>
      <c r="M252" s="1448"/>
      <c r="N252" s="1371"/>
      <c r="O252" s="1368"/>
      <c r="P252" s="1390" t="s">
        <v>2179</v>
      </c>
      <c r="Q252" s="1504" t="str">
        <f>IFERROR(VLOOKUP('別紙様式2-2（４・５月分）'!AR191,【参考】数式用!$AT$5:$AV$22,3,FALSE),"")</f>
        <v/>
      </c>
      <c r="R252" s="1388" t="s">
        <v>2190</v>
      </c>
      <c r="S252" s="1396" t="str">
        <f>IFERROR(VLOOKUP(K250,【参考】数式用!$A$5:$AB$27,MATCH(Q252,【参考】数式用!$B$4:$AB$4,0)+1,0),"")</f>
        <v/>
      </c>
      <c r="T252" s="1459" t="s">
        <v>2267</v>
      </c>
      <c r="U252" s="1569"/>
      <c r="V252" s="1463" t="str">
        <f>IFERROR(VLOOKUP(K250,【参考】数式用!$A$5:$AB$27,MATCH(U252,【参考】数式用!$B$4:$AB$4,0)+1,0),"")</f>
        <v/>
      </c>
      <c r="W252" s="1465" t="s">
        <v>19</v>
      </c>
      <c r="X252" s="1564"/>
      <c r="Y252" s="1407" t="s">
        <v>10</v>
      </c>
      <c r="Z252" s="1564"/>
      <c r="AA252" s="1407" t="s">
        <v>45</v>
      </c>
      <c r="AB252" s="1564"/>
      <c r="AC252" s="1407" t="s">
        <v>10</v>
      </c>
      <c r="AD252" s="1564"/>
      <c r="AE252" s="1407" t="s">
        <v>2172</v>
      </c>
      <c r="AF252" s="1407" t="s">
        <v>24</v>
      </c>
      <c r="AG252" s="1407" t="str">
        <f>IF(X252&gt;=1,(AB252*12+AD252)-(X252*12+Z252)+1,"")</f>
        <v/>
      </c>
      <c r="AH252" s="1409" t="s">
        <v>38</v>
      </c>
      <c r="AI252" s="1411" t="str">
        <f t="shared" ref="AI252" si="289">IFERROR(ROUNDDOWN(ROUND(L250*V252,0)*M250,0)*AG252,"")</f>
        <v/>
      </c>
      <c r="AJ252" s="1577" t="str">
        <f>IFERROR(ROUNDDOWN(ROUND((L250*(V252-AX250)),0)*M250,0)*AG252,"")</f>
        <v/>
      </c>
      <c r="AK252" s="1494" t="str">
        <f>IFERROR(ROUNDDOWN(ROUNDDOWN(ROUND(L250*VLOOKUP(K250,【参考】数式用!$A$5:$AB$27,MATCH("新加算Ⅳ",【参考】数式用!$B$4:$AB$4,0)+1,0),0)*M250,0)*AG252*0.5,0),"")</f>
        <v/>
      </c>
      <c r="AL252" s="1579"/>
      <c r="AM252" s="1585" t="str">
        <f>IFERROR(IF('別紙様式2-2（４・５月分）'!Q193="ベア加算","", IF(OR(U252="新加算Ⅰ",U252="新加算Ⅱ",U252="新加算Ⅲ",U252="新加算Ⅳ"),ROUNDDOWN(ROUND(L250*VLOOKUP(K250,【参考】数式用!$A$5:$I$27,MATCH("ベア加算",【参考】数式用!$B$4:$I$4,0)+1,0),0)*M250,0)*AG252,"")),"")</f>
        <v/>
      </c>
      <c r="AN252" s="1548"/>
      <c r="AO252" s="1554"/>
      <c r="AP252" s="1552"/>
      <c r="AQ252" s="1554"/>
      <c r="AR252" s="1556"/>
      <c r="AS252" s="1558"/>
      <c r="AT252" s="1532"/>
      <c r="AU252" s="542"/>
      <c r="AV252" s="1493" t="str">
        <f t="shared" ref="AV252" si="290">IF(OR(AB250&lt;&gt;7,AD250&lt;&gt;3),"V列に色付け","")</f>
        <v/>
      </c>
      <c r="AW252" s="1518"/>
      <c r="AX252" s="1507"/>
      <c r="AY252" s="671"/>
      <c r="AZ252" s="1321" t="str">
        <f>IF(AM252&lt;&gt;"",IF(AN252="○","入力済","未入力"),"")</f>
        <v/>
      </c>
      <c r="BA252" s="1321"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321" t="str">
        <f>IF(OR(U252="新加算Ⅴ（７）",U252="新加算Ⅴ（９）",U252="新加算Ⅴ（10）",U252="新加算Ⅴ（12）",U252="新加算Ⅴ（13）",U252="新加算Ⅴ（14）"),IF(OR(AP252="○",AP252="令和６年度中に満たす"),"入力済","未入力"),"")</f>
        <v/>
      </c>
      <c r="BC252" s="1321" t="str">
        <f>IF(OR(U252="新加算Ⅰ",U252="新加算Ⅱ",U252="新加算Ⅲ",U252="新加算Ⅴ（１）",U252="新加算Ⅴ（３）",U252="新加算Ⅴ（８）"),IF(OR(AQ252="○",AQ252="令和６年度中に満たす"),"入力済","未入力"),"")</f>
        <v/>
      </c>
      <c r="BD252" s="1588"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493" t="str">
        <f>IF(OR(U252="新加算Ⅰ",U252="新加算Ⅴ（１）",U252="新加算Ⅴ（２）",U252="新加算Ⅴ（５）",U252="新加算Ⅴ（７）",U252="新加算Ⅴ（10）"),IF(AS252="","未入力","入力済"),"")</f>
        <v/>
      </c>
      <c r="BF252" s="1493" t="str">
        <f>G250</f>
        <v/>
      </c>
      <c r="BG252" s="1493"/>
      <c r="BH252" s="1493"/>
    </row>
    <row r="253" spans="1:60" ht="30" customHeight="1" thickBot="1">
      <c r="A253" s="1227"/>
      <c r="B253" s="1376"/>
      <c r="C253" s="1377"/>
      <c r="D253" s="1377"/>
      <c r="E253" s="1377"/>
      <c r="F253" s="1378"/>
      <c r="G253" s="1267"/>
      <c r="H253" s="1267"/>
      <c r="I253" s="1267"/>
      <c r="J253" s="1373"/>
      <c r="K253" s="1267"/>
      <c r="L253" s="1452"/>
      <c r="M253" s="1449"/>
      <c r="N253" s="650" t="str">
        <f>IF('別紙様式2-2（４・５月分）'!Q193="","",'別紙様式2-2（４・５月分）'!Q193)</f>
        <v/>
      </c>
      <c r="O253" s="1369"/>
      <c r="P253" s="1391"/>
      <c r="Q253" s="1505"/>
      <c r="R253" s="1389"/>
      <c r="S253" s="1395"/>
      <c r="T253" s="1460"/>
      <c r="U253" s="1570"/>
      <c r="V253" s="1464"/>
      <c r="W253" s="1466"/>
      <c r="X253" s="1565"/>
      <c r="Y253" s="1408"/>
      <c r="Z253" s="1565"/>
      <c r="AA253" s="1408"/>
      <c r="AB253" s="1565"/>
      <c r="AC253" s="1408"/>
      <c r="AD253" s="1565"/>
      <c r="AE253" s="1408"/>
      <c r="AF253" s="1408"/>
      <c r="AG253" s="1408"/>
      <c r="AH253" s="1410"/>
      <c r="AI253" s="1412"/>
      <c r="AJ253" s="1578"/>
      <c r="AK253" s="1495"/>
      <c r="AL253" s="1580"/>
      <c r="AM253" s="1586"/>
      <c r="AN253" s="1549"/>
      <c r="AO253" s="1555"/>
      <c r="AP253" s="1553"/>
      <c r="AQ253" s="1555"/>
      <c r="AR253" s="1557"/>
      <c r="AS253" s="1559"/>
      <c r="AT253" s="672" t="str">
        <f t="shared" ref="AT253" si="291">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42"/>
      <c r="AV253" s="1493"/>
      <c r="AW253" s="652" t="str">
        <f>IF('別紙様式2-2（４・５月分）'!O193="","",'別紙様式2-2（４・５月分）'!O193)</f>
        <v/>
      </c>
      <c r="AX253" s="1507"/>
      <c r="AY253" s="673"/>
      <c r="AZ253" s="1321" t="str">
        <f>IF(OR(U253="新加算Ⅰ",U253="新加算Ⅱ",U253="新加算Ⅲ",U253="新加算Ⅳ",U253="新加算Ⅴ（１）",U253="新加算Ⅴ（２）",U253="新加算Ⅴ（３）",U253="新加算ⅠⅤ（４）",U253="新加算Ⅴ（５）",U253="新加算Ⅴ（６）",U253="新加算Ⅴ（８）",U253="新加算Ⅴ（11）"),IF(AJ253="○","","未入力"),"")</f>
        <v/>
      </c>
      <c r="BA253" s="1321" t="str">
        <f>IF(OR(V253="新加算Ⅰ",V253="新加算Ⅱ",V253="新加算Ⅲ",V253="新加算Ⅳ",V253="新加算Ⅴ（１）",V253="新加算Ⅴ（２）",V253="新加算Ⅴ（３）",V253="新加算ⅠⅤ（４）",V253="新加算Ⅴ（５）",V253="新加算Ⅴ（６）",V253="新加算Ⅴ（８）",V253="新加算Ⅴ（11）"),IF(AK253="○","","未入力"),"")</f>
        <v/>
      </c>
      <c r="BB253" s="1321" t="str">
        <f>IF(OR(V253="新加算Ⅴ（７）",V253="新加算Ⅴ（９）",V253="新加算Ⅴ（10）",V253="新加算Ⅴ（12）",V253="新加算Ⅴ（13）",V253="新加算Ⅴ（14）"),IF(AL253="○","","未入力"),"")</f>
        <v/>
      </c>
      <c r="BC253" s="1321" t="str">
        <f>IF(OR(V253="新加算Ⅰ",V253="新加算Ⅱ",V253="新加算Ⅲ",V253="新加算Ⅴ（１）",V253="新加算Ⅴ（３）",V253="新加算Ⅴ（８）"),IF(AM253="○","","未入力"),"")</f>
        <v/>
      </c>
      <c r="BD253" s="1588"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493" t="str">
        <f>IF(AND(U253&lt;&gt;"（参考）令和７年度の移行予定",OR(V253="新加算Ⅰ",V253="新加算Ⅴ（１）",V253="新加算Ⅴ（２）",V253="新加算Ⅴ（５）",V253="新加算Ⅴ（７）",V253="新加算Ⅴ（10）")),IF(AO253="","未入力",IF(AO253="いずれも取得していない","要件を満たさない","")),"")</f>
        <v/>
      </c>
      <c r="BF253" s="1493" t="str">
        <f>G250</f>
        <v/>
      </c>
      <c r="BG253" s="1493"/>
      <c r="BH253" s="1493"/>
    </row>
    <row r="254" spans="1:60" ht="30" customHeight="1">
      <c r="A254" s="1225">
        <v>61</v>
      </c>
      <c r="B254" s="1272" t="str">
        <f>IF(基本情報入力シート!C114="","",基本情報入力シート!C114)</f>
        <v/>
      </c>
      <c r="C254" s="1261"/>
      <c r="D254" s="1261"/>
      <c r="E254" s="1261"/>
      <c r="F254" s="1262"/>
      <c r="G254" s="1266" t="str">
        <f>IF(基本情報入力シート!M114="","",基本情報入力シート!M114)</f>
        <v/>
      </c>
      <c r="H254" s="1266" t="str">
        <f>IF(基本情報入力シート!R114="","",基本情報入力シート!R114)</f>
        <v/>
      </c>
      <c r="I254" s="1266" t="str">
        <f>IF(基本情報入力シート!W114="","",基本情報入力シート!W114)</f>
        <v/>
      </c>
      <c r="J254" s="1372" t="str">
        <f>IF(基本情報入力シート!X114="","",基本情報入力シート!X114)</f>
        <v/>
      </c>
      <c r="K254" s="1266" t="str">
        <f>IF(基本情報入力シート!Y114="","",基本情報入力シート!Y114)</f>
        <v/>
      </c>
      <c r="L254" s="1451" t="str">
        <f>IF(基本情報入力シート!AB114="","",基本情報入力シート!AB114)</f>
        <v/>
      </c>
      <c r="M254" s="1453" t="str">
        <f>IF(基本情報入力シート!AC114="","",基本情報入力シート!AC114)</f>
        <v/>
      </c>
      <c r="N254" s="647" t="str">
        <f>IF('別紙様式2-2（４・５月分）'!Q194="","",'別紙様式2-2（４・５月分）'!Q194)</f>
        <v/>
      </c>
      <c r="O254" s="1366" t="str">
        <f>IF(SUM('別紙様式2-2（４・５月分）'!R194:R196)=0,"",SUM('別紙様式2-2（４・５月分）'!R194:R196))</f>
        <v/>
      </c>
      <c r="P254" s="1380" t="str">
        <f>IFERROR(VLOOKUP('別紙様式2-2（４・５月分）'!AR194,【参考】数式用!$AT$5:$AU$22,2,FALSE),"")</f>
        <v/>
      </c>
      <c r="Q254" s="1381"/>
      <c r="R254" s="1382"/>
      <c r="S254" s="1392" t="str">
        <f>IFERROR(VLOOKUP(K254,【参考】数式用!$A$5:$AB$27,MATCH(P254,【参考】数式用!$B$4:$AB$4,0)+1,0),"")</f>
        <v/>
      </c>
      <c r="T254" s="1413" t="s">
        <v>2258</v>
      </c>
      <c r="U254" s="1562" t="str">
        <f>IF('別紙様式2-3（６月以降分）'!U254="","",'別紙様式2-3（６月以降分）'!U254)</f>
        <v/>
      </c>
      <c r="V254" s="1457" t="str">
        <f>IFERROR(VLOOKUP(K254,【参考】数式用!$A$5:$AB$27,MATCH(U254,【参考】数式用!$B$4:$AB$4,0)+1,0),"")</f>
        <v/>
      </c>
      <c r="W254" s="1350" t="s">
        <v>19</v>
      </c>
      <c r="X254" s="1534">
        <f>'別紙様式2-3（６月以降分）'!X254</f>
        <v>6</v>
      </c>
      <c r="Y254" s="1354" t="s">
        <v>10</v>
      </c>
      <c r="Z254" s="1534">
        <f>'別紙様式2-3（６月以降分）'!Z254</f>
        <v>6</v>
      </c>
      <c r="AA254" s="1354" t="s">
        <v>45</v>
      </c>
      <c r="AB254" s="1534">
        <f>'別紙様式2-3（６月以降分）'!AB254</f>
        <v>7</v>
      </c>
      <c r="AC254" s="1354" t="s">
        <v>10</v>
      </c>
      <c r="AD254" s="1534">
        <f>'別紙様式2-3（６月以降分）'!AD254</f>
        <v>3</v>
      </c>
      <c r="AE254" s="1354" t="s">
        <v>2172</v>
      </c>
      <c r="AF254" s="1354" t="s">
        <v>24</v>
      </c>
      <c r="AG254" s="1354">
        <f>IF(X254&gt;=1,(AB254*12+AD254)-(X254*12+Z254)+1,"")</f>
        <v>10</v>
      </c>
      <c r="AH254" s="1360" t="s">
        <v>38</v>
      </c>
      <c r="AI254" s="1481" t="str">
        <f>'別紙様式2-3（６月以降分）'!AI254</f>
        <v/>
      </c>
      <c r="AJ254" s="1542" t="str">
        <f>'別紙様式2-3（６月以降分）'!AJ254</f>
        <v/>
      </c>
      <c r="AK254" s="1538">
        <f>'別紙様式2-3（６月以降分）'!AK254</f>
        <v>0</v>
      </c>
      <c r="AL254" s="1540" t="str">
        <f>IF('別紙様式2-3（６月以降分）'!AL254="","",'別紙様式2-3（６月以降分）'!AL254)</f>
        <v/>
      </c>
      <c r="AM254" s="1571">
        <f>'別紙様式2-3（６月以降分）'!AM254</f>
        <v>0</v>
      </c>
      <c r="AN254" s="1573" t="str">
        <f>IF('別紙様式2-3（６月以降分）'!AN254="","",'別紙様式2-3（６月以降分）'!AN254)</f>
        <v/>
      </c>
      <c r="AO254" s="1403" t="str">
        <f>IF('別紙様式2-3（６月以降分）'!AO254="","",'別紙様式2-3（６月以降分）'!AO254)</f>
        <v/>
      </c>
      <c r="AP254" s="1502" t="str">
        <f>IF('別紙様式2-3（６月以降分）'!AP254="","",'別紙様式2-3（６月以降分）'!AP254)</f>
        <v/>
      </c>
      <c r="AQ254" s="1403" t="str">
        <f>IF('別紙様式2-3（６月以降分）'!AQ254="","",'別紙様式2-3（６月以降分）'!AQ254)</f>
        <v/>
      </c>
      <c r="AR254" s="1583" t="str">
        <f>IF('別紙様式2-3（６月以降分）'!AR254="","",'別紙様式2-3（６月以降分）'!AR254)</f>
        <v/>
      </c>
      <c r="AS254" s="1536" t="str">
        <f>IF('別紙様式2-3（６月以降分）'!AS254="","",'別紙様式2-3（６月以降分）'!AS254)</f>
        <v/>
      </c>
      <c r="AT254" s="667" t="str">
        <f t="shared" ref="AT254" si="292">IF(AV256="","",IF(V256&lt;V254,"！加算の要件上は問題ありませんが、令和６年度当初の新加算の加算率と比較して、移行後の加算率が下がる計画になっています。",""))</f>
        <v/>
      </c>
      <c r="AU254" s="674"/>
      <c r="AV254" s="1233"/>
      <c r="AW254" s="652" t="str">
        <f>IF('別紙様式2-2（４・５月分）'!O194="","",'別紙様式2-2（４・５月分）'!O194)</f>
        <v/>
      </c>
      <c r="AX254" s="1507" t="str">
        <f>IF(SUM('別紙様式2-2（４・５月分）'!P194:P196)=0,"",SUM('別紙様式2-2（４・５月分）'!P194:P196))</f>
        <v/>
      </c>
      <c r="AY254" s="1590" t="str">
        <f>IFERROR(VLOOKUP(K254,【参考】数式用!$AJ$2:$AK$24,2,FALSE),"")</f>
        <v/>
      </c>
      <c r="AZ254" s="584"/>
      <c r="BE254" s="428"/>
      <c r="BF254" s="1493" t="str">
        <f>G254</f>
        <v/>
      </c>
      <c r="BG254" s="1493"/>
      <c r="BH254" s="1493"/>
    </row>
    <row r="255" spans="1:60" ht="15" customHeight="1">
      <c r="A255" s="1226"/>
      <c r="B255" s="1272"/>
      <c r="C255" s="1261"/>
      <c r="D255" s="1261"/>
      <c r="E255" s="1261"/>
      <c r="F255" s="1262"/>
      <c r="G255" s="1266"/>
      <c r="H255" s="1266"/>
      <c r="I255" s="1266"/>
      <c r="J255" s="1372"/>
      <c r="K255" s="1266"/>
      <c r="L255" s="1451"/>
      <c r="M255" s="1453"/>
      <c r="N255" s="1370" t="str">
        <f>IF('別紙様式2-2（４・５月分）'!Q195="","",'別紙様式2-2（４・５月分）'!Q195)</f>
        <v/>
      </c>
      <c r="O255" s="1367"/>
      <c r="P255" s="1383"/>
      <c r="Q255" s="1384"/>
      <c r="R255" s="1385"/>
      <c r="S255" s="1393"/>
      <c r="T255" s="1414"/>
      <c r="U255" s="1563"/>
      <c r="V255" s="1458"/>
      <c r="W255" s="1351"/>
      <c r="X255" s="1535"/>
      <c r="Y255" s="1355"/>
      <c r="Z255" s="1535"/>
      <c r="AA255" s="1355"/>
      <c r="AB255" s="1535"/>
      <c r="AC255" s="1355"/>
      <c r="AD255" s="1535"/>
      <c r="AE255" s="1355"/>
      <c r="AF255" s="1355"/>
      <c r="AG255" s="1355"/>
      <c r="AH255" s="1361"/>
      <c r="AI255" s="1482"/>
      <c r="AJ255" s="1543"/>
      <c r="AK255" s="1539"/>
      <c r="AL255" s="1541"/>
      <c r="AM255" s="1572"/>
      <c r="AN255" s="1574"/>
      <c r="AO255" s="1404"/>
      <c r="AP255" s="1533"/>
      <c r="AQ255" s="1404"/>
      <c r="AR255" s="1584"/>
      <c r="AS255" s="1537"/>
      <c r="AT255" s="1532" t="str">
        <f t="shared" ref="AT255" si="293">IF(AV256="","",IF(OR(AB256="",AB256&lt;&gt;7,AD256="",AD256&lt;&gt;3),"！算定期間の終わりが令和７年３月になっていません。年度内の廃止予定等がなければ、算定対象月を令和７年３月にしてください。",""))</f>
        <v/>
      </c>
      <c r="AU255" s="674"/>
      <c r="AV255" s="1493"/>
      <c r="AW255" s="1518" t="str">
        <f>IF('別紙様式2-2（４・５月分）'!O195="","",'別紙様式2-2（４・５月分）'!O195)</f>
        <v/>
      </c>
      <c r="AX255" s="1507"/>
      <c r="AY255" s="1589"/>
      <c r="AZ255" s="521"/>
      <c r="BE255" s="428"/>
      <c r="BF255" s="1493" t="str">
        <f>G254</f>
        <v/>
      </c>
      <c r="BG255" s="1493"/>
      <c r="BH255" s="1493"/>
    </row>
    <row r="256" spans="1:60" ht="15" customHeight="1">
      <c r="A256" s="1240"/>
      <c r="B256" s="1272"/>
      <c r="C256" s="1261"/>
      <c r="D256" s="1261"/>
      <c r="E256" s="1261"/>
      <c r="F256" s="1262"/>
      <c r="G256" s="1266"/>
      <c r="H256" s="1266"/>
      <c r="I256" s="1266"/>
      <c r="J256" s="1372"/>
      <c r="K256" s="1266"/>
      <c r="L256" s="1451"/>
      <c r="M256" s="1453"/>
      <c r="N256" s="1371"/>
      <c r="O256" s="1368"/>
      <c r="P256" s="1390" t="s">
        <v>2179</v>
      </c>
      <c r="Q256" s="1504" t="str">
        <f>IFERROR(VLOOKUP('別紙様式2-2（４・５月分）'!AR194,【参考】数式用!$AT$5:$AV$22,3,FALSE),"")</f>
        <v/>
      </c>
      <c r="R256" s="1388" t="s">
        <v>2190</v>
      </c>
      <c r="S256" s="1394" t="str">
        <f>IFERROR(VLOOKUP(K254,【参考】数式用!$A$5:$AB$27,MATCH(Q256,【参考】数式用!$B$4:$AB$4,0)+1,0),"")</f>
        <v/>
      </c>
      <c r="T256" s="1459" t="s">
        <v>2267</v>
      </c>
      <c r="U256" s="1569"/>
      <c r="V256" s="1463" t="str">
        <f>IFERROR(VLOOKUP(K254,【参考】数式用!$A$5:$AB$27,MATCH(U256,【参考】数式用!$B$4:$AB$4,0)+1,0),"")</f>
        <v/>
      </c>
      <c r="W256" s="1465" t="s">
        <v>19</v>
      </c>
      <c r="X256" s="1564"/>
      <c r="Y256" s="1407" t="s">
        <v>10</v>
      </c>
      <c r="Z256" s="1564"/>
      <c r="AA256" s="1407" t="s">
        <v>45</v>
      </c>
      <c r="AB256" s="1564"/>
      <c r="AC256" s="1407" t="s">
        <v>10</v>
      </c>
      <c r="AD256" s="1564"/>
      <c r="AE256" s="1407" t="s">
        <v>2172</v>
      </c>
      <c r="AF256" s="1407" t="s">
        <v>24</v>
      </c>
      <c r="AG256" s="1407" t="str">
        <f>IF(X256&gt;=1,(AB256*12+AD256)-(X256*12+Z256)+1,"")</f>
        <v/>
      </c>
      <c r="AH256" s="1409" t="s">
        <v>38</v>
      </c>
      <c r="AI256" s="1411" t="str">
        <f t="shared" ref="AI256" si="294">IFERROR(ROUNDDOWN(ROUND(L254*V256,0)*M254,0)*AG256,"")</f>
        <v/>
      </c>
      <c r="AJ256" s="1577" t="str">
        <f>IFERROR(ROUNDDOWN(ROUND((L254*(V256-AX254)),0)*M254,0)*AG256,"")</f>
        <v/>
      </c>
      <c r="AK256" s="1494" t="str">
        <f>IFERROR(ROUNDDOWN(ROUNDDOWN(ROUND(L254*VLOOKUP(K254,【参考】数式用!$A$5:$AB$27,MATCH("新加算Ⅳ",【参考】数式用!$B$4:$AB$4,0)+1,0),0)*M254,0)*AG256*0.5,0),"")</f>
        <v/>
      </c>
      <c r="AL256" s="1579"/>
      <c r="AM256" s="1585" t="str">
        <f>IFERROR(IF('別紙様式2-2（４・５月分）'!Q196="ベア加算","", IF(OR(U256="新加算Ⅰ",U256="新加算Ⅱ",U256="新加算Ⅲ",U256="新加算Ⅳ"),ROUNDDOWN(ROUND(L254*VLOOKUP(K254,【参考】数式用!$A$5:$I$27,MATCH("ベア加算",【参考】数式用!$B$4:$I$4,0)+1,0),0)*M254,0)*AG256,"")),"")</f>
        <v/>
      </c>
      <c r="AN256" s="1548"/>
      <c r="AO256" s="1554"/>
      <c r="AP256" s="1552"/>
      <c r="AQ256" s="1554"/>
      <c r="AR256" s="1556"/>
      <c r="AS256" s="1558"/>
      <c r="AT256" s="1532"/>
      <c r="AU256" s="542"/>
      <c r="AV256" s="1493" t="str">
        <f t="shared" ref="AV256" si="295">IF(OR(AB254&lt;&gt;7,AD254&lt;&gt;3),"V列に色付け","")</f>
        <v/>
      </c>
      <c r="AW256" s="1518"/>
      <c r="AX256" s="1507"/>
      <c r="AY256" s="671"/>
      <c r="AZ256" s="1321" t="str">
        <f>IF(AM256&lt;&gt;"",IF(AN256="○","入力済","未入力"),"")</f>
        <v/>
      </c>
      <c r="BA256" s="1321"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321" t="str">
        <f>IF(OR(U256="新加算Ⅴ（７）",U256="新加算Ⅴ（９）",U256="新加算Ⅴ（10）",U256="新加算Ⅴ（12）",U256="新加算Ⅴ（13）",U256="新加算Ⅴ（14）"),IF(OR(AP256="○",AP256="令和６年度中に満たす"),"入力済","未入力"),"")</f>
        <v/>
      </c>
      <c r="BC256" s="1321" t="str">
        <f>IF(OR(U256="新加算Ⅰ",U256="新加算Ⅱ",U256="新加算Ⅲ",U256="新加算Ⅴ（１）",U256="新加算Ⅴ（３）",U256="新加算Ⅴ（８）"),IF(OR(AQ256="○",AQ256="令和６年度中に満たす"),"入力済","未入力"),"")</f>
        <v/>
      </c>
      <c r="BD256" s="1588"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493" t="str">
        <f>IF(OR(U256="新加算Ⅰ",U256="新加算Ⅴ（１）",U256="新加算Ⅴ（２）",U256="新加算Ⅴ（５）",U256="新加算Ⅴ（７）",U256="新加算Ⅴ（10）"),IF(AS256="","未入力","入力済"),"")</f>
        <v/>
      </c>
      <c r="BF256" s="1493" t="str">
        <f>G254</f>
        <v/>
      </c>
      <c r="BG256" s="1493"/>
      <c r="BH256" s="1493"/>
    </row>
    <row r="257" spans="1:60" ht="30" customHeight="1" thickBot="1">
      <c r="A257" s="1227"/>
      <c r="B257" s="1376"/>
      <c r="C257" s="1377"/>
      <c r="D257" s="1377"/>
      <c r="E257" s="1377"/>
      <c r="F257" s="1378"/>
      <c r="G257" s="1267"/>
      <c r="H257" s="1267"/>
      <c r="I257" s="1267"/>
      <c r="J257" s="1373"/>
      <c r="K257" s="1267"/>
      <c r="L257" s="1452"/>
      <c r="M257" s="1454"/>
      <c r="N257" s="650" t="str">
        <f>IF('別紙様式2-2（４・５月分）'!Q196="","",'別紙様式2-2（４・５月分）'!Q196)</f>
        <v/>
      </c>
      <c r="O257" s="1369"/>
      <c r="P257" s="1391"/>
      <c r="Q257" s="1505"/>
      <c r="R257" s="1389"/>
      <c r="S257" s="1395"/>
      <c r="T257" s="1460"/>
      <c r="U257" s="1570"/>
      <c r="V257" s="1464"/>
      <c r="W257" s="1466"/>
      <c r="X257" s="1565"/>
      <c r="Y257" s="1408"/>
      <c r="Z257" s="1565"/>
      <c r="AA257" s="1408"/>
      <c r="AB257" s="1565"/>
      <c r="AC257" s="1408"/>
      <c r="AD257" s="1565"/>
      <c r="AE257" s="1408"/>
      <c r="AF257" s="1408"/>
      <c r="AG257" s="1408"/>
      <c r="AH257" s="1410"/>
      <c r="AI257" s="1412"/>
      <c r="AJ257" s="1578"/>
      <c r="AK257" s="1495"/>
      <c r="AL257" s="1580"/>
      <c r="AM257" s="1586"/>
      <c r="AN257" s="1549"/>
      <c r="AO257" s="1555"/>
      <c r="AP257" s="1553"/>
      <c r="AQ257" s="1555"/>
      <c r="AR257" s="1557"/>
      <c r="AS257" s="1559"/>
      <c r="AT257" s="672" t="str">
        <f t="shared" ref="AT257" si="29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42"/>
      <c r="AV257" s="1493"/>
      <c r="AW257" s="652" t="str">
        <f>IF('別紙様式2-2（４・５月分）'!O196="","",'別紙様式2-2（４・５月分）'!O196)</f>
        <v/>
      </c>
      <c r="AX257" s="1507"/>
      <c r="AY257" s="673"/>
      <c r="AZ257" s="1321" t="str">
        <f>IF(OR(U257="新加算Ⅰ",U257="新加算Ⅱ",U257="新加算Ⅲ",U257="新加算Ⅳ",U257="新加算Ⅴ（１）",U257="新加算Ⅴ（２）",U257="新加算Ⅴ（３）",U257="新加算ⅠⅤ（４）",U257="新加算Ⅴ（５）",U257="新加算Ⅴ（６）",U257="新加算Ⅴ（８）",U257="新加算Ⅴ（11）"),IF(AJ257="○","","未入力"),"")</f>
        <v/>
      </c>
      <c r="BA257" s="1321" t="str">
        <f>IF(OR(V257="新加算Ⅰ",V257="新加算Ⅱ",V257="新加算Ⅲ",V257="新加算Ⅳ",V257="新加算Ⅴ（１）",V257="新加算Ⅴ（２）",V257="新加算Ⅴ（３）",V257="新加算ⅠⅤ（４）",V257="新加算Ⅴ（５）",V257="新加算Ⅴ（６）",V257="新加算Ⅴ（８）",V257="新加算Ⅴ（11）"),IF(AK257="○","","未入力"),"")</f>
        <v/>
      </c>
      <c r="BB257" s="1321" t="str">
        <f>IF(OR(V257="新加算Ⅴ（７）",V257="新加算Ⅴ（９）",V257="新加算Ⅴ（10）",V257="新加算Ⅴ（12）",V257="新加算Ⅴ（13）",V257="新加算Ⅴ（14）"),IF(AL257="○","","未入力"),"")</f>
        <v/>
      </c>
      <c r="BC257" s="1321" t="str">
        <f>IF(OR(V257="新加算Ⅰ",V257="新加算Ⅱ",V257="新加算Ⅲ",V257="新加算Ⅴ（１）",V257="新加算Ⅴ（３）",V257="新加算Ⅴ（８）"),IF(AM257="○","","未入力"),"")</f>
        <v/>
      </c>
      <c r="BD257" s="1588"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493" t="str">
        <f>IF(AND(U257&lt;&gt;"（参考）令和７年度の移行予定",OR(V257="新加算Ⅰ",V257="新加算Ⅴ（１）",V257="新加算Ⅴ（２）",V257="新加算Ⅴ（５）",V257="新加算Ⅴ（７）",V257="新加算Ⅴ（10）")),IF(AO257="","未入力",IF(AO257="いずれも取得していない","要件を満たさない","")),"")</f>
        <v/>
      </c>
      <c r="BF257" s="1493" t="str">
        <f>G254</f>
        <v/>
      </c>
      <c r="BG257" s="1493"/>
      <c r="BH257" s="1493"/>
    </row>
    <row r="258" spans="1:60" ht="30" customHeight="1">
      <c r="A258" s="1241">
        <v>62</v>
      </c>
      <c r="B258" s="1271" t="str">
        <f>IF(基本情報入力シート!C115="","",基本情報入力シート!C115)</f>
        <v/>
      </c>
      <c r="C258" s="1259"/>
      <c r="D258" s="1259"/>
      <c r="E258" s="1259"/>
      <c r="F258" s="1260"/>
      <c r="G258" s="1265" t="str">
        <f>IF(基本情報入力シート!M115="","",基本情報入力シート!M115)</f>
        <v/>
      </c>
      <c r="H258" s="1265" t="str">
        <f>IF(基本情報入力シート!R115="","",基本情報入力シート!R115)</f>
        <v/>
      </c>
      <c r="I258" s="1265" t="str">
        <f>IF(基本情報入力シート!W115="","",基本情報入力シート!W115)</f>
        <v/>
      </c>
      <c r="J258" s="1379" t="str">
        <f>IF(基本情報入力シート!X115="","",基本情報入力シート!X115)</f>
        <v/>
      </c>
      <c r="K258" s="1265" t="str">
        <f>IF(基本情報入力シート!Y115="","",基本情報入力シート!Y115)</f>
        <v/>
      </c>
      <c r="L258" s="1450" t="str">
        <f>IF(基本情報入力シート!AB115="","",基本情報入力シート!AB115)</f>
        <v/>
      </c>
      <c r="M258" s="1447" t="str">
        <f>IF(基本情報入力シート!AC115="","",基本情報入力シート!AC115)</f>
        <v/>
      </c>
      <c r="N258" s="647" t="str">
        <f>IF('別紙様式2-2（４・５月分）'!Q197="","",'別紙様式2-2（４・５月分）'!Q197)</f>
        <v/>
      </c>
      <c r="O258" s="1366" t="str">
        <f>IF(SUM('別紙様式2-2（４・５月分）'!R197:R199)=0,"",SUM('別紙様式2-2（４・５月分）'!R197:R199))</f>
        <v/>
      </c>
      <c r="P258" s="1380" t="str">
        <f>IFERROR(VLOOKUP('別紙様式2-2（４・５月分）'!AR197,【参考】数式用!$AT$5:$AU$22,2,FALSE),"")</f>
        <v/>
      </c>
      <c r="Q258" s="1381"/>
      <c r="R258" s="1382"/>
      <c r="S258" s="1392" t="str">
        <f>IFERROR(VLOOKUP(K258,【参考】数式用!$A$5:$AB$27,MATCH(P258,【参考】数式用!$B$4:$AB$4,0)+1,0),"")</f>
        <v/>
      </c>
      <c r="T258" s="1413" t="s">
        <v>2258</v>
      </c>
      <c r="U258" s="1562" t="str">
        <f>IF('別紙様式2-3（６月以降分）'!U258="","",'別紙様式2-3（６月以降分）'!U258)</f>
        <v/>
      </c>
      <c r="V258" s="1457" t="str">
        <f>IFERROR(VLOOKUP(K258,【参考】数式用!$A$5:$AB$27,MATCH(U258,【参考】数式用!$B$4:$AB$4,0)+1,0),"")</f>
        <v/>
      </c>
      <c r="W258" s="1350" t="s">
        <v>19</v>
      </c>
      <c r="X258" s="1534">
        <f>'別紙様式2-3（６月以降分）'!X258</f>
        <v>6</v>
      </c>
      <c r="Y258" s="1354" t="s">
        <v>10</v>
      </c>
      <c r="Z258" s="1534">
        <f>'別紙様式2-3（６月以降分）'!Z258</f>
        <v>6</v>
      </c>
      <c r="AA258" s="1354" t="s">
        <v>45</v>
      </c>
      <c r="AB258" s="1534">
        <f>'別紙様式2-3（６月以降分）'!AB258</f>
        <v>7</v>
      </c>
      <c r="AC258" s="1354" t="s">
        <v>10</v>
      </c>
      <c r="AD258" s="1534">
        <f>'別紙様式2-3（６月以降分）'!AD258</f>
        <v>3</v>
      </c>
      <c r="AE258" s="1354" t="s">
        <v>2172</v>
      </c>
      <c r="AF258" s="1354" t="s">
        <v>24</v>
      </c>
      <c r="AG258" s="1354">
        <f>IF(X258&gt;=1,(AB258*12+AD258)-(X258*12+Z258)+1,"")</f>
        <v>10</v>
      </c>
      <c r="AH258" s="1360" t="s">
        <v>38</v>
      </c>
      <c r="AI258" s="1481" t="str">
        <f>'別紙様式2-3（６月以降分）'!AI258</f>
        <v/>
      </c>
      <c r="AJ258" s="1542" t="str">
        <f>'別紙様式2-3（６月以降分）'!AJ258</f>
        <v/>
      </c>
      <c r="AK258" s="1538">
        <f>'別紙様式2-3（６月以降分）'!AK258</f>
        <v>0</v>
      </c>
      <c r="AL258" s="1540" t="str">
        <f>IF('別紙様式2-3（６月以降分）'!AL258="","",'別紙様式2-3（６月以降分）'!AL258)</f>
        <v/>
      </c>
      <c r="AM258" s="1571">
        <f>'別紙様式2-3（６月以降分）'!AM258</f>
        <v>0</v>
      </c>
      <c r="AN258" s="1573" t="str">
        <f>IF('別紙様式2-3（６月以降分）'!AN258="","",'別紙様式2-3（６月以降分）'!AN258)</f>
        <v/>
      </c>
      <c r="AO258" s="1403" t="str">
        <f>IF('別紙様式2-3（６月以降分）'!AO258="","",'別紙様式2-3（６月以降分）'!AO258)</f>
        <v/>
      </c>
      <c r="AP258" s="1502" t="str">
        <f>IF('別紙様式2-3（６月以降分）'!AP258="","",'別紙様式2-3（６月以降分）'!AP258)</f>
        <v/>
      </c>
      <c r="AQ258" s="1403" t="str">
        <f>IF('別紙様式2-3（６月以降分）'!AQ258="","",'別紙様式2-3（６月以降分）'!AQ258)</f>
        <v/>
      </c>
      <c r="AR258" s="1583" t="str">
        <f>IF('別紙様式2-3（６月以降分）'!AR258="","",'別紙様式2-3（６月以降分）'!AR258)</f>
        <v/>
      </c>
      <c r="AS258" s="1536" t="str">
        <f>IF('別紙様式2-3（６月以降分）'!AS258="","",'別紙様式2-3（６月以降分）'!AS258)</f>
        <v/>
      </c>
      <c r="AT258" s="667" t="str">
        <f t="shared" ref="AT258" si="297">IF(AV260="","",IF(V260&lt;V258,"！加算の要件上は問題ありませんが、令和６年度当初の新加算の加算率と比較して、移行後の加算率が下がる計画になっています。",""))</f>
        <v/>
      </c>
      <c r="AU258" s="674"/>
      <c r="AV258" s="1233"/>
      <c r="AW258" s="652" t="str">
        <f>IF('別紙様式2-2（４・５月分）'!O197="","",'別紙様式2-2（４・５月分）'!O197)</f>
        <v/>
      </c>
      <c r="AX258" s="1507" t="str">
        <f>IF(SUM('別紙様式2-2（４・５月分）'!P197:P199)=0,"",SUM('別紙様式2-2（４・５月分）'!P197:P199))</f>
        <v/>
      </c>
      <c r="AY258" s="1589" t="str">
        <f>IFERROR(VLOOKUP(K258,【参考】数式用!$AJ$2:$AK$24,2,FALSE),"")</f>
        <v/>
      </c>
      <c r="AZ258" s="584"/>
      <c r="BE258" s="428"/>
      <c r="BF258" s="1493" t="str">
        <f>G258</f>
        <v/>
      </c>
      <c r="BG258" s="1493"/>
      <c r="BH258" s="1493"/>
    </row>
    <row r="259" spans="1:60" ht="15" customHeight="1">
      <c r="A259" s="1226"/>
      <c r="B259" s="1272"/>
      <c r="C259" s="1261"/>
      <c r="D259" s="1261"/>
      <c r="E259" s="1261"/>
      <c r="F259" s="1262"/>
      <c r="G259" s="1266"/>
      <c r="H259" s="1266"/>
      <c r="I259" s="1266"/>
      <c r="J259" s="1372"/>
      <c r="K259" s="1266"/>
      <c r="L259" s="1451"/>
      <c r="M259" s="1448"/>
      <c r="N259" s="1370" t="str">
        <f>IF('別紙様式2-2（４・５月分）'!Q198="","",'別紙様式2-2（４・５月分）'!Q198)</f>
        <v/>
      </c>
      <c r="O259" s="1367"/>
      <c r="P259" s="1383"/>
      <c r="Q259" s="1384"/>
      <c r="R259" s="1385"/>
      <c r="S259" s="1393"/>
      <c r="T259" s="1414"/>
      <c r="U259" s="1563"/>
      <c r="V259" s="1458"/>
      <c r="W259" s="1351"/>
      <c r="X259" s="1535"/>
      <c r="Y259" s="1355"/>
      <c r="Z259" s="1535"/>
      <c r="AA259" s="1355"/>
      <c r="AB259" s="1535"/>
      <c r="AC259" s="1355"/>
      <c r="AD259" s="1535"/>
      <c r="AE259" s="1355"/>
      <c r="AF259" s="1355"/>
      <c r="AG259" s="1355"/>
      <c r="AH259" s="1361"/>
      <c r="AI259" s="1482"/>
      <c r="AJ259" s="1543"/>
      <c r="AK259" s="1539"/>
      <c r="AL259" s="1541"/>
      <c r="AM259" s="1572"/>
      <c r="AN259" s="1574"/>
      <c r="AO259" s="1404"/>
      <c r="AP259" s="1533"/>
      <c r="AQ259" s="1404"/>
      <c r="AR259" s="1584"/>
      <c r="AS259" s="1537"/>
      <c r="AT259" s="1532" t="str">
        <f t="shared" ref="AT259" si="298">IF(AV260="","",IF(OR(AB260="",AB260&lt;&gt;7,AD260="",AD260&lt;&gt;3),"！算定期間の終わりが令和７年３月になっていません。年度内の廃止予定等がなければ、算定対象月を令和７年３月にしてください。",""))</f>
        <v/>
      </c>
      <c r="AU259" s="674"/>
      <c r="AV259" s="1493"/>
      <c r="AW259" s="1518" t="str">
        <f>IF('別紙様式2-2（４・５月分）'!O198="","",'別紙様式2-2（４・５月分）'!O198)</f>
        <v/>
      </c>
      <c r="AX259" s="1507"/>
      <c r="AY259" s="1589"/>
      <c r="AZ259" s="521"/>
      <c r="BE259" s="428"/>
      <c r="BF259" s="1493" t="str">
        <f>G258</f>
        <v/>
      </c>
      <c r="BG259" s="1493"/>
      <c r="BH259" s="1493"/>
    </row>
    <row r="260" spans="1:60" ht="15" customHeight="1">
      <c r="A260" s="1240"/>
      <c r="B260" s="1272"/>
      <c r="C260" s="1261"/>
      <c r="D260" s="1261"/>
      <c r="E260" s="1261"/>
      <c r="F260" s="1262"/>
      <c r="G260" s="1266"/>
      <c r="H260" s="1266"/>
      <c r="I260" s="1266"/>
      <c r="J260" s="1372"/>
      <c r="K260" s="1266"/>
      <c r="L260" s="1451"/>
      <c r="M260" s="1448"/>
      <c r="N260" s="1371"/>
      <c r="O260" s="1368"/>
      <c r="P260" s="1390" t="s">
        <v>2179</v>
      </c>
      <c r="Q260" s="1504" t="str">
        <f>IFERROR(VLOOKUP('別紙様式2-2（４・５月分）'!AR197,【参考】数式用!$AT$5:$AV$22,3,FALSE),"")</f>
        <v/>
      </c>
      <c r="R260" s="1388" t="s">
        <v>2190</v>
      </c>
      <c r="S260" s="1396" t="str">
        <f>IFERROR(VLOOKUP(K258,【参考】数式用!$A$5:$AB$27,MATCH(Q260,【参考】数式用!$B$4:$AB$4,0)+1,0),"")</f>
        <v/>
      </c>
      <c r="T260" s="1459" t="s">
        <v>2267</v>
      </c>
      <c r="U260" s="1569"/>
      <c r="V260" s="1463" t="str">
        <f>IFERROR(VLOOKUP(K258,【参考】数式用!$A$5:$AB$27,MATCH(U260,【参考】数式用!$B$4:$AB$4,0)+1,0),"")</f>
        <v/>
      </c>
      <c r="W260" s="1465" t="s">
        <v>19</v>
      </c>
      <c r="X260" s="1564"/>
      <c r="Y260" s="1407" t="s">
        <v>10</v>
      </c>
      <c r="Z260" s="1564"/>
      <c r="AA260" s="1407" t="s">
        <v>45</v>
      </c>
      <c r="AB260" s="1564"/>
      <c r="AC260" s="1407" t="s">
        <v>10</v>
      </c>
      <c r="AD260" s="1564"/>
      <c r="AE260" s="1407" t="s">
        <v>2172</v>
      </c>
      <c r="AF260" s="1407" t="s">
        <v>24</v>
      </c>
      <c r="AG260" s="1407" t="str">
        <f>IF(X260&gt;=1,(AB260*12+AD260)-(X260*12+Z260)+1,"")</f>
        <v/>
      </c>
      <c r="AH260" s="1409" t="s">
        <v>38</v>
      </c>
      <c r="AI260" s="1411" t="str">
        <f t="shared" ref="AI260" si="299">IFERROR(ROUNDDOWN(ROUND(L258*V260,0)*M258,0)*AG260,"")</f>
        <v/>
      </c>
      <c r="AJ260" s="1577" t="str">
        <f>IFERROR(ROUNDDOWN(ROUND((L258*(V260-AX258)),0)*M258,0)*AG260,"")</f>
        <v/>
      </c>
      <c r="AK260" s="1494" t="str">
        <f>IFERROR(ROUNDDOWN(ROUNDDOWN(ROUND(L258*VLOOKUP(K258,【参考】数式用!$A$5:$AB$27,MATCH("新加算Ⅳ",【参考】数式用!$B$4:$AB$4,0)+1,0),0)*M258,0)*AG260*0.5,0),"")</f>
        <v/>
      </c>
      <c r="AL260" s="1579"/>
      <c r="AM260" s="1585" t="str">
        <f>IFERROR(IF('別紙様式2-2（４・５月分）'!Q199="ベア加算","", IF(OR(U260="新加算Ⅰ",U260="新加算Ⅱ",U260="新加算Ⅲ",U260="新加算Ⅳ"),ROUNDDOWN(ROUND(L258*VLOOKUP(K258,【参考】数式用!$A$5:$I$27,MATCH("ベア加算",【参考】数式用!$B$4:$I$4,0)+1,0),0)*M258,0)*AG260,"")),"")</f>
        <v/>
      </c>
      <c r="AN260" s="1548"/>
      <c r="AO260" s="1554"/>
      <c r="AP260" s="1552"/>
      <c r="AQ260" s="1554"/>
      <c r="AR260" s="1556"/>
      <c r="AS260" s="1558"/>
      <c r="AT260" s="1532"/>
      <c r="AU260" s="542"/>
      <c r="AV260" s="1493" t="str">
        <f t="shared" ref="AV260" si="300">IF(OR(AB258&lt;&gt;7,AD258&lt;&gt;3),"V列に色付け","")</f>
        <v/>
      </c>
      <c r="AW260" s="1518"/>
      <c r="AX260" s="1507"/>
      <c r="AY260" s="671"/>
      <c r="AZ260" s="1321" t="str">
        <f>IF(AM260&lt;&gt;"",IF(AN260="○","入力済","未入力"),"")</f>
        <v/>
      </c>
      <c r="BA260" s="1321"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321" t="str">
        <f>IF(OR(U260="新加算Ⅴ（７）",U260="新加算Ⅴ（９）",U260="新加算Ⅴ（10）",U260="新加算Ⅴ（12）",U260="新加算Ⅴ（13）",U260="新加算Ⅴ（14）"),IF(OR(AP260="○",AP260="令和６年度中に満たす"),"入力済","未入力"),"")</f>
        <v/>
      </c>
      <c r="BC260" s="1321" t="str">
        <f>IF(OR(U260="新加算Ⅰ",U260="新加算Ⅱ",U260="新加算Ⅲ",U260="新加算Ⅴ（１）",U260="新加算Ⅴ（３）",U260="新加算Ⅴ（８）"),IF(OR(AQ260="○",AQ260="令和６年度中に満たす"),"入力済","未入力"),"")</f>
        <v/>
      </c>
      <c r="BD260" s="1588"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493" t="str">
        <f>IF(OR(U260="新加算Ⅰ",U260="新加算Ⅴ（１）",U260="新加算Ⅴ（２）",U260="新加算Ⅴ（５）",U260="新加算Ⅴ（７）",U260="新加算Ⅴ（10）"),IF(AS260="","未入力","入力済"),"")</f>
        <v/>
      </c>
      <c r="BF260" s="1493" t="str">
        <f>G258</f>
        <v/>
      </c>
      <c r="BG260" s="1493"/>
      <c r="BH260" s="1493"/>
    </row>
    <row r="261" spans="1:60" ht="30" customHeight="1" thickBot="1">
      <c r="A261" s="1227"/>
      <c r="B261" s="1376"/>
      <c r="C261" s="1377"/>
      <c r="D261" s="1377"/>
      <c r="E261" s="1377"/>
      <c r="F261" s="1378"/>
      <c r="G261" s="1267"/>
      <c r="H261" s="1267"/>
      <c r="I261" s="1267"/>
      <c r="J261" s="1373"/>
      <c r="K261" s="1267"/>
      <c r="L261" s="1452"/>
      <c r="M261" s="1449"/>
      <c r="N261" s="650" t="str">
        <f>IF('別紙様式2-2（４・５月分）'!Q199="","",'別紙様式2-2（４・５月分）'!Q199)</f>
        <v/>
      </c>
      <c r="O261" s="1369"/>
      <c r="P261" s="1391"/>
      <c r="Q261" s="1505"/>
      <c r="R261" s="1389"/>
      <c r="S261" s="1395"/>
      <c r="T261" s="1460"/>
      <c r="U261" s="1570"/>
      <c r="V261" s="1464"/>
      <c r="W261" s="1466"/>
      <c r="X261" s="1565"/>
      <c r="Y261" s="1408"/>
      <c r="Z261" s="1565"/>
      <c r="AA261" s="1408"/>
      <c r="AB261" s="1565"/>
      <c r="AC261" s="1408"/>
      <c r="AD261" s="1565"/>
      <c r="AE261" s="1408"/>
      <c r="AF261" s="1408"/>
      <c r="AG261" s="1408"/>
      <c r="AH261" s="1410"/>
      <c r="AI261" s="1412"/>
      <c r="AJ261" s="1578"/>
      <c r="AK261" s="1495"/>
      <c r="AL261" s="1580"/>
      <c r="AM261" s="1586"/>
      <c r="AN261" s="1549"/>
      <c r="AO261" s="1555"/>
      <c r="AP261" s="1553"/>
      <c r="AQ261" s="1555"/>
      <c r="AR261" s="1557"/>
      <c r="AS261" s="1559"/>
      <c r="AT261" s="672" t="str">
        <f t="shared" ref="AT261" si="301">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42"/>
      <c r="AV261" s="1493"/>
      <c r="AW261" s="652" t="str">
        <f>IF('別紙様式2-2（４・５月分）'!O199="","",'別紙様式2-2（４・５月分）'!O199)</f>
        <v/>
      </c>
      <c r="AX261" s="1507"/>
      <c r="AY261" s="673"/>
      <c r="AZ261" s="1321" t="str">
        <f>IF(OR(U261="新加算Ⅰ",U261="新加算Ⅱ",U261="新加算Ⅲ",U261="新加算Ⅳ",U261="新加算Ⅴ（１）",U261="新加算Ⅴ（２）",U261="新加算Ⅴ（３）",U261="新加算ⅠⅤ（４）",U261="新加算Ⅴ（５）",U261="新加算Ⅴ（６）",U261="新加算Ⅴ（８）",U261="新加算Ⅴ（11）"),IF(AJ261="○","","未入力"),"")</f>
        <v/>
      </c>
      <c r="BA261" s="1321" t="str">
        <f>IF(OR(V261="新加算Ⅰ",V261="新加算Ⅱ",V261="新加算Ⅲ",V261="新加算Ⅳ",V261="新加算Ⅴ（１）",V261="新加算Ⅴ（２）",V261="新加算Ⅴ（３）",V261="新加算ⅠⅤ（４）",V261="新加算Ⅴ（５）",V261="新加算Ⅴ（６）",V261="新加算Ⅴ（８）",V261="新加算Ⅴ（11）"),IF(AK261="○","","未入力"),"")</f>
        <v/>
      </c>
      <c r="BB261" s="1321" t="str">
        <f>IF(OR(V261="新加算Ⅴ（７）",V261="新加算Ⅴ（９）",V261="新加算Ⅴ（10）",V261="新加算Ⅴ（12）",V261="新加算Ⅴ（13）",V261="新加算Ⅴ（14）"),IF(AL261="○","","未入力"),"")</f>
        <v/>
      </c>
      <c r="BC261" s="1321" t="str">
        <f>IF(OR(V261="新加算Ⅰ",V261="新加算Ⅱ",V261="新加算Ⅲ",V261="新加算Ⅴ（１）",V261="新加算Ⅴ（３）",V261="新加算Ⅴ（８）"),IF(AM261="○","","未入力"),"")</f>
        <v/>
      </c>
      <c r="BD261" s="1588"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493" t="str">
        <f>IF(AND(U261&lt;&gt;"（参考）令和７年度の移行予定",OR(V261="新加算Ⅰ",V261="新加算Ⅴ（１）",V261="新加算Ⅴ（２）",V261="新加算Ⅴ（５）",V261="新加算Ⅴ（７）",V261="新加算Ⅴ（10）")),IF(AO261="","未入力",IF(AO261="いずれも取得していない","要件を満たさない","")),"")</f>
        <v/>
      </c>
      <c r="BF261" s="1493" t="str">
        <f>G258</f>
        <v/>
      </c>
      <c r="BG261" s="1493"/>
      <c r="BH261" s="1493"/>
    </row>
    <row r="262" spans="1:60" ht="30" customHeight="1">
      <c r="A262" s="1225">
        <v>63</v>
      </c>
      <c r="B262" s="1272" t="str">
        <f>IF(基本情報入力シート!C116="","",基本情報入力シート!C116)</f>
        <v/>
      </c>
      <c r="C262" s="1261"/>
      <c r="D262" s="1261"/>
      <c r="E262" s="1261"/>
      <c r="F262" s="1262"/>
      <c r="G262" s="1266" t="str">
        <f>IF(基本情報入力シート!M116="","",基本情報入力シート!M116)</f>
        <v/>
      </c>
      <c r="H262" s="1266" t="str">
        <f>IF(基本情報入力シート!R116="","",基本情報入力シート!R116)</f>
        <v/>
      </c>
      <c r="I262" s="1266" t="str">
        <f>IF(基本情報入力シート!W116="","",基本情報入力シート!W116)</f>
        <v/>
      </c>
      <c r="J262" s="1372" t="str">
        <f>IF(基本情報入力シート!X116="","",基本情報入力シート!X116)</f>
        <v/>
      </c>
      <c r="K262" s="1266" t="str">
        <f>IF(基本情報入力シート!Y116="","",基本情報入力シート!Y116)</f>
        <v/>
      </c>
      <c r="L262" s="1451" t="str">
        <f>IF(基本情報入力シート!AB116="","",基本情報入力シート!AB116)</f>
        <v/>
      </c>
      <c r="M262" s="1453" t="str">
        <f>IF(基本情報入力シート!AC116="","",基本情報入力シート!AC116)</f>
        <v/>
      </c>
      <c r="N262" s="647" t="str">
        <f>IF('別紙様式2-2（４・５月分）'!Q200="","",'別紙様式2-2（４・５月分）'!Q200)</f>
        <v/>
      </c>
      <c r="O262" s="1366" t="str">
        <f>IF(SUM('別紙様式2-2（４・５月分）'!R200:R202)=0,"",SUM('別紙様式2-2（４・５月分）'!R200:R202))</f>
        <v/>
      </c>
      <c r="P262" s="1380" t="str">
        <f>IFERROR(VLOOKUP('別紙様式2-2（４・５月分）'!AR200,【参考】数式用!$AT$5:$AU$22,2,FALSE),"")</f>
        <v/>
      </c>
      <c r="Q262" s="1381"/>
      <c r="R262" s="1382"/>
      <c r="S262" s="1392" t="str">
        <f>IFERROR(VLOOKUP(K262,【参考】数式用!$A$5:$AB$27,MATCH(P262,【参考】数式用!$B$4:$AB$4,0)+1,0),"")</f>
        <v/>
      </c>
      <c r="T262" s="1413" t="s">
        <v>2258</v>
      </c>
      <c r="U262" s="1562" t="str">
        <f>IF('別紙様式2-3（６月以降分）'!U262="","",'別紙様式2-3（６月以降分）'!U262)</f>
        <v/>
      </c>
      <c r="V262" s="1457" t="str">
        <f>IFERROR(VLOOKUP(K262,【参考】数式用!$A$5:$AB$27,MATCH(U262,【参考】数式用!$B$4:$AB$4,0)+1,0),"")</f>
        <v/>
      </c>
      <c r="W262" s="1350" t="s">
        <v>19</v>
      </c>
      <c r="X262" s="1534">
        <f>'別紙様式2-3（６月以降分）'!X262</f>
        <v>6</v>
      </c>
      <c r="Y262" s="1354" t="s">
        <v>10</v>
      </c>
      <c r="Z262" s="1534">
        <f>'別紙様式2-3（６月以降分）'!Z262</f>
        <v>6</v>
      </c>
      <c r="AA262" s="1354" t="s">
        <v>45</v>
      </c>
      <c r="AB262" s="1534">
        <f>'別紙様式2-3（６月以降分）'!AB262</f>
        <v>7</v>
      </c>
      <c r="AC262" s="1354" t="s">
        <v>10</v>
      </c>
      <c r="AD262" s="1534">
        <f>'別紙様式2-3（６月以降分）'!AD262</f>
        <v>3</v>
      </c>
      <c r="AE262" s="1354" t="s">
        <v>2172</v>
      </c>
      <c r="AF262" s="1354" t="s">
        <v>24</v>
      </c>
      <c r="AG262" s="1354">
        <f>IF(X262&gt;=1,(AB262*12+AD262)-(X262*12+Z262)+1,"")</f>
        <v>10</v>
      </c>
      <c r="AH262" s="1360" t="s">
        <v>38</v>
      </c>
      <c r="AI262" s="1481" t="str">
        <f>'別紙様式2-3（６月以降分）'!AI262</f>
        <v/>
      </c>
      <c r="AJ262" s="1542" t="str">
        <f>'別紙様式2-3（６月以降分）'!AJ262</f>
        <v/>
      </c>
      <c r="AK262" s="1538">
        <f>'別紙様式2-3（６月以降分）'!AK262</f>
        <v>0</v>
      </c>
      <c r="AL262" s="1540" t="str">
        <f>IF('別紙様式2-3（６月以降分）'!AL262="","",'別紙様式2-3（６月以降分）'!AL262)</f>
        <v/>
      </c>
      <c r="AM262" s="1571">
        <f>'別紙様式2-3（６月以降分）'!AM262</f>
        <v>0</v>
      </c>
      <c r="AN262" s="1573" t="str">
        <f>IF('別紙様式2-3（６月以降分）'!AN262="","",'別紙様式2-3（６月以降分）'!AN262)</f>
        <v/>
      </c>
      <c r="AO262" s="1403" t="str">
        <f>IF('別紙様式2-3（６月以降分）'!AO262="","",'別紙様式2-3（６月以降分）'!AO262)</f>
        <v/>
      </c>
      <c r="AP262" s="1502" t="str">
        <f>IF('別紙様式2-3（６月以降分）'!AP262="","",'別紙様式2-3（６月以降分）'!AP262)</f>
        <v/>
      </c>
      <c r="AQ262" s="1403" t="str">
        <f>IF('別紙様式2-3（６月以降分）'!AQ262="","",'別紙様式2-3（６月以降分）'!AQ262)</f>
        <v/>
      </c>
      <c r="AR262" s="1583" t="str">
        <f>IF('別紙様式2-3（６月以降分）'!AR262="","",'別紙様式2-3（６月以降分）'!AR262)</f>
        <v/>
      </c>
      <c r="AS262" s="1536" t="str">
        <f>IF('別紙様式2-3（６月以降分）'!AS262="","",'別紙様式2-3（６月以降分）'!AS262)</f>
        <v/>
      </c>
      <c r="AT262" s="667" t="str">
        <f t="shared" ref="AT262" si="302">IF(AV264="","",IF(V264&lt;V262,"！加算の要件上は問題ありませんが、令和６年度当初の新加算の加算率と比較して、移行後の加算率が下がる計画になっています。",""))</f>
        <v/>
      </c>
      <c r="AU262" s="674"/>
      <c r="AV262" s="1233"/>
      <c r="AW262" s="652" t="str">
        <f>IF('別紙様式2-2（４・５月分）'!O200="","",'別紙様式2-2（４・５月分）'!O200)</f>
        <v/>
      </c>
      <c r="AX262" s="1507" t="str">
        <f>IF(SUM('別紙様式2-2（４・５月分）'!P200:P202)=0,"",SUM('別紙様式2-2（４・５月分）'!P200:P202))</f>
        <v/>
      </c>
      <c r="AY262" s="1590" t="str">
        <f>IFERROR(VLOOKUP(K262,【参考】数式用!$AJ$2:$AK$24,2,FALSE),"")</f>
        <v/>
      </c>
      <c r="AZ262" s="584"/>
      <c r="BE262" s="428"/>
      <c r="BF262" s="1493" t="str">
        <f>G262</f>
        <v/>
      </c>
      <c r="BG262" s="1493"/>
      <c r="BH262" s="1493"/>
    </row>
    <row r="263" spans="1:60" ht="15" customHeight="1">
      <c r="A263" s="1226"/>
      <c r="B263" s="1272"/>
      <c r="C263" s="1261"/>
      <c r="D263" s="1261"/>
      <c r="E263" s="1261"/>
      <c r="F263" s="1262"/>
      <c r="G263" s="1266"/>
      <c r="H263" s="1266"/>
      <c r="I263" s="1266"/>
      <c r="J263" s="1372"/>
      <c r="K263" s="1266"/>
      <c r="L263" s="1451"/>
      <c r="M263" s="1453"/>
      <c r="N263" s="1370" t="str">
        <f>IF('別紙様式2-2（４・５月分）'!Q201="","",'別紙様式2-2（４・５月分）'!Q201)</f>
        <v/>
      </c>
      <c r="O263" s="1367"/>
      <c r="P263" s="1383"/>
      <c r="Q263" s="1384"/>
      <c r="R263" s="1385"/>
      <c r="S263" s="1393"/>
      <c r="T263" s="1414"/>
      <c r="U263" s="1563"/>
      <c r="V263" s="1458"/>
      <c r="W263" s="1351"/>
      <c r="X263" s="1535"/>
      <c r="Y263" s="1355"/>
      <c r="Z263" s="1535"/>
      <c r="AA263" s="1355"/>
      <c r="AB263" s="1535"/>
      <c r="AC263" s="1355"/>
      <c r="AD263" s="1535"/>
      <c r="AE263" s="1355"/>
      <c r="AF263" s="1355"/>
      <c r="AG263" s="1355"/>
      <c r="AH263" s="1361"/>
      <c r="AI263" s="1482"/>
      <c r="AJ263" s="1543"/>
      <c r="AK263" s="1539"/>
      <c r="AL263" s="1541"/>
      <c r="AM263" s="1572"/>
      <c r="AN263" s="1574"/>
      <c r="AO263" s="1404"/>
      <c r="AP263" s="1533"/>
      <c r="AQ263" s="1404"/>
      <c r="AR263" s="1584"/>
      <c r="AS263" s="1537"/>
      <c r="AT263" s="1532" t="str">
        <f t="shared" ref="AT263" si="303">IF(AV264="","",IF(OR(AB264="",AB264&lt;&gt;7,AD264="",AD264&lt;&gt;3),"！算定期間の終わりが令和７年３月になっていません。年度内の廃止予定等がなければ、算定対象月を令和７年３月にしてください。",""))</f>
        <v/>
      </c>
      <c r="AU263" s="674"/>
      <c r="AV263" s="1493"/>
      <c r="AW263" s="1518" t="str">
        <f>IF('別紙様式2-2（４・５月分）'!O201="","",'別紙様式2-2（４・５月分）'!O201)</f>
        <v/>
      </c>
      <c r="AX263" s="1507"/>
      <c r="AY263" s="1589"/>
      <c r="AZ263" s="521"/>
      <c r="BE263" s="428"/>
      <c r="BF263" s="1493" t="str">
        <f>G262</f>
        <v/>
      </c>
      <c r="BG263" s="1493"/>
      <c r="BH263" s="1493"/>
    </row>
    <row r="264" spans="1:60" ht="15" customHeight="1">
      <c r="A264" s="1240"/>
      <c r="B264" s="1272"/>
      <c r="C264" s="1261"/>
      <c r="D264" s="1261"/>
      <c r="E264" s="1261"/>
      <c r="F264" s="1262"/>
      <c r="G264" s="1266"/>
      <c r="H264" s="1266"/>
      <c r="I264" s="1266"/>
      <c r="J264" s="1372"/>
      <c r="K264" s="1266"/>
      <c r="L264" s="1451"/>
      <c r="M264" s="1453"/>
      <c r="N264" s="1371"/>
      <c r="O264" s="1368"/>
      <c r="P264" s="1390" t="s">
        <v>2179</v>
      </c>
      <c r="Q264" s="1504" t="str">
        <f>IFERROR(VLOOKUP('別紙様式2-2（４・５月分）'!AR200,【参考】数式用!$AT$5:$AV$22,3,FALSE),"")</f>
        <v/>
      </c>
      <c r="R264" s="1388" t="s">
        <v>2190</v>
      </c>
      <c r="S264" s="1394" t="str">
        <f>IFERROR(VLOOKUP(K262,【参考】数式用!$A$5:$AB$27,MATCH(Q264,【参考】数式用!$B$4:$AB$4,0)+1,0),"")</f>
        <v/>
      </c>
      <c r="T264" s="1459" t="s">
        <v>2267</v>
      </c>
      <c r="U264" s="1569"/>
      <c r="V264" s="1463" t="str">
        <f>IFERROR(VLOOKUP(K262,【参考】数式用!$A$5:$AB$27,MATCH(U264,【参考】数式用!$B$4:$AB$4,0)+1,0),"")</f>
        <v/>
      </c>
      <c r="W264" s="1465" t="s">
        <v>19</v>
      </c>
      <c r="X264" s="1564"/>
      <c r="Y264" s="1407" t="s">
        <v>10</v>
      </c>
      <c r="Z264" s="1564"/>
      <c r="AA264" s="1407" t="s">
        <v>45</v>
      </c>
      <c r="AB264" s="1564"/>
      <c r="AC264" s="1407" t="s">
        <v>10</v>
      </c>
      <c r="AD264" s="1564"/>
      <c r="AE264" s="1407" t="s">
        <v>2172</v>
      </c>
      <c r="AF264" s="1407" t="s">
        <v>24</v>
      </c>
      <c r="AG264" s="1407" t="str">
        <f>IF(X264&gt;=1,(AB264*12+AD264)-(X264*12+Z264)+1,"")</f>
        <v/>
      </c>
      <c r="AH264" s="1409" t="s">
        <v>38</v>
      </c>
      <c r="AI264" s="1411" t="str">
        <f t="shared" ref="AI264" si="304">IFERROR(ROUNDDOWN(ROUND(L262*V264,0)*M262,0)*AG264,"")</f>
        <v/>
      </c>
      <c r="AJ264" s="1577" t="str">
        <f>IFERROR(ROUNDDOWN(ROUND((L262*(V264-AX262)),0)*M262,0)*AG264,"")</f>
        <v/>
      </c>
      <c r="AK264" s="1494" t="str">
        <f>IFERROR(ROUNDDOWN(ROUNDDOWN(ROUND(L262*VLOOKUP(K262,【参考】数式用!$A$5:$AB$27,MATCH("新加算Ⅳ",【参考】数式用!$B$4:$AB$4,0)+1,0),0)*M262,0)*AG264*0.5,0),"")</f>
        <v/>
      </c>
      <c r="AL264" s="1579"/>
      <c r="AM264" s="1585" t="str">
        <f>IFERROR(IF('別紙様式2-2（４・５月分）'!Q202="ベア加算","", IF(OR(U264="新加算Ⅰ",U264="新加算Ⅱ",U264="新加算Ⅲ",U264="新加算Ⅳ"),ROUNDDOWN(ROUND(L262*VLOOKUP(K262,【参考】数式用!$A$5:$I$27,MATCH("ベア加算",【参考】数式用!$B$4:$I$4,0)+1,0),0)*M262,0)*AG264,"")),"")</f>
        <v/>
      </c>
      <c r="AN264" s="1548"/>
      <c r="AO264" s="1554"/>
      <c r="AP264" s="1552"/>
      <c r="AQ264" s="1554"/>
      <c r="AR264" s="1556"/>
      <c r="AS264" s="1558"/>
      <c r="AT264" s="1532"/>
      <c r="AU264" s="542"/>
      <c r="AV264" s="1493" t="str">
        <f t="shared" ref="AV264" si="305">IF(OR(AB262&lt;&gt;7,AD262&lt;&gt;3),"V列に色付け","")</f>
        <v/>
      </c>
      <c r="AW264" s="1518"/>
      <c r="AX264" s="1507"/>
      <c r="AY264" s="671"/>
      <c r="AZ264" s="1321" t="str">
        <f>IF(AM264&lt;&gt;"",IF(AN264="○","入力済","未入力"),"")</f>
        <v/>
      </c>
      <c r="BA264" s="1321"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321" t="str">
        <f>IF(OR(U264="新加算Ⅴ（７）",U264="新加算Ⅴ（９）",U264="新加算Ⅴ（10）",U264="新加算Ⅴ（12）",U264="新加算Ⅴ（13）",U264="新加算Ⅴ（14）"),IF(OR(AP264="○",AP264="令和６年度中に満たす"),"入力済","未入力"),"")</f>
        <v/>
      </c>
      <c r="BC264" s="1321" t="str">
        <f>IF(OR(U264="新加算Ⅰ",U264="新加算Ⅱ",U264="新加算Ⅲ",U264="新加算Ⅴ（１）",U264="新加算Ⅴ（３）",U264="新加算Ⅴ（８）"),IF(OR(AQ264="○",AQ264="令和６年度中に満たす"),"入力済","未入力"),"")</f>
        <v/>
      </c>
      <c r="BD264" s="1588"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493" t="str">
        <f>IF(OR(U264="新加算Ⅰ",U264="新加算Ⅴ（１）",U264="新加算Ⅴ（２）",U264="新加算Ⅴ（５）",U264="新加算Ⅴ（７）",U264="新加算Ⅴ（10）"),IF(AS264="","未入力","入力済"),"")</f>
        <v/>
      </c>
      <c r="BF264" s="1493" t="str">
        <f>G262</f>
        <v/>
      </c>
      <c r="BG264" s="1493"/>
      <c r="BH264" s="1493"/>
    </row>
    <row r="265" spans="1:60" ht="30" customHeight="1" thickBot="1">
      <c r="A265" s="1227"/>
      <c r="B265" s="1376"/>
      <c r="C265" s="1377"/>
      <c r="D265" s="1377"/>
      <c r="E265" s="1377"/>
      <c r="F265" s="1378"/>
      <c r="G265" s="1267"/>
      <c r="H265" s="1267"/>
      <c r="I265" s="1267"/>
      <c r="J265" s="1373"/>
      <c r="K265" s="1267"/>
      <c r="L265" s="1452"/>
      <c r="M265" s="1454"/>
      <c r="N265" s="650" t="str">
        <f>IF('別紙様式2-2（４・５月分）'!Q202="","",'別紙様式2-2（４・５月分）'!Q202)</f>
        <v/>
      </c>
      <c r="O265" s="1369"/>
      <c r="P265" s="1391"/>
      <c r="Q265" s="1505"/>
      <c r="R265" s="1389"/>
      <c r="S265" s="1395"/>
      <c r="T265" s="1460"/>
      <c r="U265" s="1570"/>
      <c r="V265" s="1464"/>
      <c r="W265" s="1466"/>
      <c r="X265" s="1565"/>
      <c r="Y265" s="1408"/>
      <c r="Z265" s="1565"/>
      <c r="AA265" s="1408"/>
      <c r="AB265" s="1565"/>
      <c r="AC265" s="1408"/>
      <c r="AD265" s="1565"/>
      <c r="AE265" s="1408"/>
      <c r="AF265" s="1408"/>
      <c r="AG265" s="1408"/>
      <c r="AH265" s="1410"/>
      <c r="AI265" s="1412"/>
      <c r="AJ265" s="1578"/>
      <c r="AK265" s="1495"/>
      <c r="AL265" s="1580"/>
      <c r="AM265" s="1586"/>
      <c r="AN265" s="1549"/>
      <c r="AO265" s="1555"/>
      <c r="AP265" s="1553"/>
      <c r="AQ265" s="1555"/>
      <c r="AR265" s="1557"/>
      <c r="AS265" s="1559"/>
      <c r="AT265" s="672" t="str">
        <f t="shared" ref="AT265" si="306">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42"/>
      <c r="AV265" s="1493"/>
      <c r="AW265" s="652" t="str">
        <f>IF('別紙様式2-2（４・５月分）'!O202="","",'別紙様式2-2（４・５月分）'!O202)</f>
        <v/>
      </c>
      <c r="AX265" s="1507"/>
      <c r="AY265" s="673"/>
      <c r="AZ265" s="1321" t="str">
        <f>IF(OR(U265="新加算Ⅰ",U265="新加算Ⅱ",U265="新加算Ⅲ",U265="新加算Ⅳ",U265="新加算Ⅴ（１）",U265="新加算Ⅴ（２）",U265="新加算Ⅴ（３）",U265="新加算ⅠⅤ（４）",U265="新加算Ⅴ（５）",U265="新加算Ⅴ（６）",U265="新加算Ⅴ（８）",U265="新加算Ⅴ（11）"),IF(AJ265="○","","未入力"),"")</f>
        <v/>
      </c>
      <c r="BA265" s="1321" t="str">
        <f>IF(OR(V265="新加算Ⅰ",V265="新加算Ⅱ",V265="新加算Ⅲ",V265="新加算Ⅳ",V265="新加算Ⅴ（１）",V265="新加算Ⅴ（２）",V265="新加算Ⅴ（３）",V265="新加算ⅠⅤ（４）",V265="新加算Ⅴ（５）",V265="新加算Ⅴ（６）",V265="新加算Ⅴ（８）",V265="新加算Ⅴ（11）"),IF(AK265="○","","未入力"),"")</f>
        <v/>
      </c>
      <c r="BB265" s="1321" t="str">
        <f>IF(OR(V265="新加算Ⅴ（７）",V265="新加算Ⅴ（９）",V265="新加算Ⅴ（10）",V265="新加算Ⅴ（12）",V265="新加算Ⅴ（13）",V265="新加算Ⅴ（14）"),IF(AL265="○","","未入力"),"")</f>
        <v/>
      </c>
      <c r="BC265" s="1321" t="str">
        <f>IF(OR(V265="新加算Ⅰ",V265="新加算Ⅱ",V265="新加算Ⅲ",V265="新加算Ⅴ（１）",V265="新加算Ⅴ（３）",V265="新加算Ⅴ（８）"),IF(AM265="○","","未入力"),"")</f>
        <v/>
      </c>
      <c r="BD265" s="1588"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493" t="str">
        <f>IF(AND(U265&lt;&gt;"（参考）令和７年度の移行予定",OR(V265="新加算Ⅰ",V265="新加算Ⅴ（１）",V265="新加算Ⅴ（２）",V265="新加算Ⅴ（５）",V265="新加算Ⅴ（７）",V265="新加算Ⅴ（10）")),IF(AO265="","未入力",IF(AO265="いずれも取得していない","要件を満たさない","")),"")</f>
        <v/>
      </c>
      <c r="BF265" s="1493" t="str">
        <f>G262</f>
        <v/>
      </c>
      <c r="BG265" s="1493"/>
      <c r="BH265" s="1493"/>
    </row>
    <row r="266" spans="1:60" ht="30" customHeight="1">
      <c r="A266" s="1241">
        <v>64</v>
      </c>
      <c r="B266" s="1271" t="str">
        <f>IF(基本情報入力シート!C117="","",基本情報入力シート!C117)</f>
        <v/>
      </c>
      <c r="C266" s="1259"/>
      <c r="D266" s="1259"/>
      <c r="E266" s="1259"/>
      <c r="F266" s="1260"/>
      <c r="G266" s="1265" t="str">
        <f>IF(基本情報入力シート!M117="","",基本情報入力シート!M117)</f>
        <v/>
      </c>
      <c r="H266" s="1265" t="str">
        <f>IF(基本情報入力シート!R117="","",基本情報入力シート!R117)</f>
        <v/>
      </c>
      <c r="I266" s="1265" t="str">
        <f>IF(基本情報入力シート!W117="","",基本情報入力シート!W117)</f>
        <v/>
      </c>
      <c r="J266" s="1379" t="str">
        <f>IF(基本情報入力シート!X117="","",基本情報入力シート!X117)</f>
        <v/>
      </c>
      <c r="K266" s="1265" t="str">
        <f>IF(基本情報入力シート!Y117="","",基本情報入力シート!Y117)</f>
        <v/>
      </c>
      <c r="L266" s="1450" t="str">
        <f>IF(基本情報入力シート!AB117="","",基本情報入力シート!AB117)</f>
        <v/>
      </c>
      <c r="M266" s="1447" t="str">
        <f>IF(基本情報入力シート!AC117="","",基本情報入力シート!AC117)</f>
        <v/>
      </c>
      <c r="N266" s="647" t="str">
        <f>IF('別紙様式2-2（４・５月分）'!Q203="","",'別紙様式2-2（４・５月分）'!Q203)</f>
        <v/>
      </c>
      <c r="O266" s="1366" t="str">
        <f>IF(SUM('別紙様式2-2（４・５月分）'!R203:R205)=0,"",SUM('別紙様式2-2（４・５月分）'!R203:R205))</f>
        <v/>
      </c>
      <c r="P266" s="1380" t="str">
        <f>IFERROR(VLOOKUP('別紙様式2-2（４・５月分）'!AR203,【参考】数式用!$AT$5:$AU$22,2,FALSE),"")</f>
        <v/>
      </c>
      <c r="Q266" s="1381"/>
      <c r="R266" s="1382"/>
      <c r="S266" s="1392" t="str">
        <f>IFERROR(VLOOKUP(K266,【参考】数式用!$A$5:$AB$27,MATCH(P266,【参考】数式用!$B$4:$AB$4,0)+1,0),"")</f>
        <v/>
      </c>
      <c r="T266" s="1413" t="s">
        <v>2258</v>
      </c>
      <c r="U266" s="1562" t="str">
        <f>IF('別紙様式2-3（６月以降分）'!U266="","",'別紙様式2-3（６月以降分）'!U266)</f>
        <v/>
      </c>
      <c r="V266" s="1457" t="str">
        <f>IFERROR(VLOOKUP(K266,【参考】数式用!$A$5:$AB$27,MATCH(U266,【参考】数式用!$B$4:$AB$4,0)+1,0),"")</f>
        <v/>
      </c>
      <c r="W266" s="1350" t="s">
        <v>19</v>
      </c>
      <c r="X266" s="1534">
        <f>'別紙様式2-3（６月以降分）'!X266</f>
        <v>6</v>
      </c>
      <c r="Y266" s="1354" t="s">
        <v>10</v>
      </c>
      <c r="Z266" s="1534">
        <f>'別紙様式2-3（６月以降分）'!Z266</f>
        <v>6</v>
      </c>
      <c r="AA266" s="1354" t="s">
        <v>45</v>
      </c>
      <c r="AB266" s="1534">
        <f>'別紙様式2-3（６月以降分）'!AB266</f>
        <v>7</v>
      </c>
      <c r="AC266" s="1354" t="s">
        <v>10</v>
      </c>
      <c r="AD266" s="1534">
        <f>'別紙様式2-3（６月以降分）'!AD266</f>
        <v>3</v>
      </c>
      <c r="AE266" s="1354" t="s">
        <v>2172</v>
      </c>
      <c r="AF266" s="1354" t="s">
        <v>24</v>
      </c>
      <c r="AG266" s="1354">
        <f>IF(X266&gt;=1,(AB266*12+AD266)-(X266*12+Z266)+1,"")</f>
        <v>10</v>
      </c>
      <c r="AH266" s="1360" t="s">
        <v>38</v>
      </c>
      <c r="AI266" s="1481" t="str">
        <f>'別紙様式2-3（６月以降分）'!AI266</f>
        <v/>
      </c>
      <c r="AJ266" s="1542" t="str">
        <f>'別紙様式2-3（６月以降分）'!AJ266</f>
        <v/>
      </c>
      <c r="AK266" s="1538">
        <f>'別紙様式2-3（６月以降分）'!AK266</f>
        <v>0</v>
      </c>
      <c r="AL266" s="1540" t="str">
        <f>IF('別紙様式2-3（６月以降分）'!AL266="","",'別紙様式2-3（６月以降分）'!AL266)</f>
        <v/>
      </c>
      <c r="AM266" s="1571">
        <f>'別紙様式2-3（６月以降分）'!AM266</f>
        <v>0</v>
      </c>
      <c r="AN266" s="1573" t="str">
        <f>IF('別紙様式2-3（６月以降分）'!AN266="","",'別紙様式2-3（６月以降分）'!AN266)</f>
        <v/>
      </c>
      <c r="AO266" s="1403" t="str">
        <f>IF('別紙様式2-3（６月以降分）'!AO266="","",'別紙様式2-3（６月以降分）'!AO266)</f>
        <v/>
      </c>
      <c r="AP266" s="1502" t="str">
        <f>IF('別紙様式2-3（６月以降分）'!AP266="","",'別紙様式2-3（６月以降分）'!AP266)</f>
        <v/>
      </c>
      <c r="AQ266" s="1403" t="str">
        <f>IF('別紙様式2-3（６月以降分）'!AQ266="","",'別紙様式2-3（６月以降分）'!AQ266)</f>
        <v/>
      </c>
      <c r="AR266" s="1583" t="str">
        <f>IF('別紙様式2-3（６月以降分）'!AR266="","",'別紙様式2-3（６月以降分）'!AR266)</f>
        <v/>
      </c>
      <c r="AS266" s="1536" t="str">
        <f>IF('別紙様式2-3（６月以降分）'!AS266="","",'別紙様式2-3（６月以降分）'!AS266)</f>
        <v/>
      </c>
      <c r="AT266" s="667" t="str">
        <f t="shared" ref="AT266" si="307">IF(AV268="","",IF(V268&lt;V266,"！加算の要件上は問題ありませんが、令和６年度当初の新加算の加算率と比較して、移行後の加算率が下がる計画になっています。",""))</f>
        <v/>
      </c>
      <c r="AU266" s="674"/>
      <c r="AV266" s="1233"/>
      <c r="AW266" s="652" t="str">
        <f>IF('別紙様式2-2（４・５月分）'!O203="","",'別紙様式2-2（４・５月分）'!O203)</f>
        <v/>
      </c>
      <c r="AX266" s="1507" t="str">
        <f>IF(SUM('別紙様式2-2（４・５月分）'!P203:P205)=0,"",SUM('別紙様式2-2（４・５月分）'!P203:P205))</f>
        <v/>
      </c>
      <c r="AY266" s="1589" t="str">
        <f>IFERROR(VLOOKUP(K266,【参考】数式用!$AJ$2:$AK$24,2,FALSE),"")</f>
        <v/>
      </c>
      <c r="AZ266" s="584"/>
      <c r="BE266" s="428"/>
      <c r="BF266" s="1493" t="str">
        <f>G266</f>
        <v/>
      </c>
      <c r="BG266" s="1493"/>
      <c r="BH266" s="1493"/>
    </row>
    <row r="267" spans="1:60" ht="15" customHeight="1">
      <c r="A267" s="1226"/>
      <c r="B267" s="1272"/>
      <c r="C267" s="1261"/>
      <c r="D267" s="1261"/>
      <c r="E267" s="1261"/>
      <c r="F267" s="1262"/>
      <c r="G267" s="1266"/>
      <c r="H267" s="1266"/>
      <c r="I267" s="1266"/>
      <c r="J267" s="1372"/>
      <c r="K267" s="1266"/>
      <c r="L267" s="1451"/>
      <c r="M267" s="1448"/>
      <c r="N267" s="1370" t="str">
        <f>IF('別紙様式2-2（４・５月分）'!Q204="","",'別紙様式2-2（４・５月分）'!Q204)</f>
        <v/>
      </c>
      <c r="O267" s="1367"/>
      <c r="P267" s="1383"/>
      <c r="Q267" s="1384"/>
      <c r="R267" s="1385"/>
      <c r="S267" s="1393"/>
      <c r="T267" s="1414"/>
      <c r="U267" s="1563"/>
      <c r="V267" s="1458"/>
      <c r="W267" s="1351"/>
      <c r="X267" s="1535"/>
      <c r="Y267" s="1355"/>
      <c r="Z267" s="1535"/>
      <c r="AA267" s="1355"/>
      <c r="AB267" s="1535"/>
      <c r="AC267" s="1355"/>
      <c r="AD267" s="1535"/>
      <c r="AE267" s="1355"/>
      <c r="AF267" s="1355"/>
      <c r="AG267" s="1355"/>
      <c r="AH267" s="1361"/>
      <c r="AI267" s="1482"/>
      <c r="AJ267" s="1543"/>
      <c r="AK267" s="1539"/>
      <c r="AL267" s="1541"/>
      <c r="AM267" s="1572"/>
      <c r="AN267" s="1574"/>
      <c r="AO267" s="1404"/>
      <c r="AP267" s="1533"/>
      <c r="AQ267" s="1404"/>
      <c r="AR267" s="1584"/>
      <c r="AS267" s="1537"/>
      <c r="AT267" s="1532" t="str">
        <f t="shared" ref="AT267" si="308">IF(AV268="","",IF(OR(AB268="",AB268&lt;&gt;7,AD268="",AD268&lt;&gt;3),"！算定期間の終わりが令和７年３月になっていません。年度内の廃止予定等がなければ、算定対象月を令和７年３月にしてください。",""))</f>
        <v/>
      </c>
      <c r="AU267" s="674"/>
      <c r="AV267" s="1493"/>
      <c r="AW267" s="1518" t="str">
        <f>IF('別紙様式2-2（４・５月分）'!O204="","",'別紙様式2-2（４・５月分）'!O204)</f>
        <v/>
      </c>
      <c r="AX267" s="1507"/>
      <c r="AY267" s="1589"/>
      <c r="AZ267" s="521"/>
      <c r="BE267" s="428"/>
      <c r="BF267" s="1493" t="str">
        <f>G266</f>
        <v/>
      </c>
      <c r="BG267" s="1493"/>
      <c r="BH267" s="1493"/>
    </row>
    <row r="268" spans="1:60" ht="15" customHeight="1">
      <c r="A268" s="1240"/>
      <c r="B268" s="1272"/>
      <c r="C268" s="1261"/>
      <c r="D268" s="1261"/>
      <c r="E268" s="1261"/>
      <c r="F268" s="1262"/>
      <c r="G268" s="1266"/>
      <c r="H268" s="1266"/>
      <c r="I268" s="1266"/>
      <c r="J268" s="1372"/>
      <c r="K268" s="1266"/>
      <c r="L268" s="1451"/>
      <c r="M268" s="1448"/>
      <c r="N268" s="1371"/>
      <c r="O268" s="1368"/>
      <c r="P268" s="1390" t="s">
        <v>2179</v>
      </c>
      <c r="Q268" s="1504" t="str">
        <f>IFERROR(VLOOKUP('別紙様式2-2（４・５月分）'!AR203,【参考】数式用!$AT$5:$AV$22,3,FALSE),"")</f>
        <v/>
      </c>
      <c r="R268" s="1388" t="s">
        <v>2190</v>
      </c>
      <c r="S268" s="1396" t="str">
        <f>IFERROR(VLOOKUP(K266,【参考】数式用!$A$5:$AB$27,MATCH(Q268,【参考】数式用!$B$4:$AB$4,0)+1,0),"")</f>
        <v/>
      </c>
      <c r="T268" s="1459" t="s">
        <v>2267</v>
      </c>
      <c r="U268" s="1569"/>
      <c r="V268" s="1463" t="str">
        <f>IFERROR(VLOOKUP(K266,【参考】数式用!$A$5:$AB$27,MATCH(U268,【参考】数式用!$B$4:$AB$4,0)+1,0),"")</f>
        <v/>
      </c>
      <c r="W268" s="1465" t="s">
        <v>19</v>
      </c>
      <c r="X268" s="1564"/>
      <c r="Y268" s="1407" t="s">
        <v>10</v>
      </c>
      <c r="Z268" s="1564"/>
      <c r="AA268" s="1407" t="s">
        <v>45</v>
      </c>
      <c r="AB268" s="1564"/>
      <c r="AC268" s="1407" t="s">
        <v>10</v>
      </c>
      <c r="AD268" s="1564"/>
      <c r="AE268" s="1407" t="s">
        <v>2172</v>
      </c>
      <c r="AF268" s="1407" t="s">
        <v>24</v>
      </c>
      <c r="AG268" s="1407" t="str">
        <f>IF(X268&gt;=1,(AB268*12+AD268)-(X268*12+Z268)+1,"")</f>
        <v/>
      </c>
      <c r="AH268" s="1409" t="s">
        <v>38</v>
      </c>
      <c r="AI268" s="1411" t="str">
        <f t="shared" ref="AI268" si="309">IFERROR(ROUNDDOWN(ROUND(L266*V268,0)*M266,0)*AG268,"")</f>
        <v/>
      </c>
      <c r="AJ268" s="1577" t="str">
        <f>IFERROR(ROUNDDOWN(ROUND((L266*(V268-AX266)),0)*M266,0)*AG268,"")</f>
        <v/>
      </c>
      <c r="AK268" s="1494" t="str">
        <f>IFERROR(ROUNDDOWN(ROUNDDOWN(ROUND(L266*VLOOKUP(K266,【参考】数式用!$A$5:$AB$27,MATCH("新加算Ⅳ",【参考】数式用!$B$4:$AB$4,0)+1,0),0)*M266,0)*AG268*0.5,0),"")</f>
        <v/>
      </c>
      <c r="AL268" s="1579"/>
      <c r="AM268" s="1585" t="str">
        <f>IFERROR(IF('別紙様式2-2（４・５月分）'!Q205="ベア加算","", IF(OR(U268="新加算Ⅰ",U268="新加算Ⅱ",U268="新加算Ⅲ",U268="新加算Ⅳ"),ROUNDDOWN(ROUND(L266*VLOOKUP(K266,【参考】数式用!$A$5:$I$27,MATCH("ベア加算",【参考】数式用!$B$4:$I$4,0)+1,0),0)*M266,0)*AG268,"")),"")</f>
        <v/>
      </c>
      <c r="AN268" s="1548"/>
      <c r="AO268" s="1554"/>
      <c r="AP268" s="1552"/>
      <c r="AQ268" s="1554"/>
      <c r="AR268" s="1556"/>
      <c r="AS268" s="1558"/>
      <c r="AT268" s="1532"/>
      <c r="AU268" s="542"/>
      <c r="AV268" s="1493" t="str">
        <f t="shared" ref="AV268" si="310">IF(OR(AB266&lt;&gt;7,AD266&lt;&gt;3),"V列に色付け","")</f>
        <v/>
      </c>
      <c r="AW268" s="1518"/>
      <c r="AX268" s="1507"/>
      <c r="AY268" s="671"/>
      <c r="AZ268" s="1321" t="str">
        <f>IF(AM268&lt;&gt;"",IF(AN268="○","入力済","未入力"),"")</f>
        <v/>
      </c>
      <c r="BA268" s="1321"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321" t="str">
        <f>IF(OR(U268="新加算Ⅴ（７）",U268="新加算Ⅴ（９）",U268="新加算Ⅴ（10）",U268="新加算Ⅴ（12）",U268="新加算Ⅴ（13）",U268="新加算Ⅴ（14）"),IF(OR(AP268="○",AP268="令和６年度中に満たす"),"入力済","未入力"),"")</f>
        <v/>
      </c>
      <c r="BC268" s="1321" t="str">
        <f>IF(OR(U268="新加算Ⅰ",U268="新加算Ⅱ",U268="新加算Ⅲ",U268="新加算Ⅴ（１）",U268="新加算Ⅴ（３）",U268="新加算Ⅴ（８）"),IF(OR(AQ268="○",AQ268="令和６年度中に満たす"),"入力済","未入力"),"")</f>
        <v/>
      </c>
      <c r="BD268" s="1588"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493" t="str">
        <f>IF(OR(U268="新加算Ⅰ",U268="新加算Ⅴ（１）",U268="新加算Ⅴ（２）",U268="新加算Ⅴ（５）",U268="新加算Ⅴ（７）",U268="新加算Ⅴ（10）"),IF(AS268="","未入力","入力済"),"")</f>
        <v/>
      </c>
      <c r="BF268" s="1493" t="str">
        <f>G266</f>
        <v/>
      </c>
      <c r="BG268" s="1493"/>
      <c r="BH268" s="1493"/>
    </row>
    <row r="269" spans="1:60" ht="30" customHeight="1" thickBot="1">
      <c r="A269" s="1227"/>
      <c r="B269" s="1376"/>
      <c r="C269" s="1377"/>
      <c r="D269" s="1377"/>
      <c r="E269" s="1377"/>
      <c r="F269" s="1378"/>
      <c r="G269" s="1267"/>
      <c r="H269" s="1267"/>
      <c r="I269" s="1267"/>
      <c r="J269" s="1373"/>
      <c r="K269" s="1267"/>
      <c r="L269" s="1452"/>
      <c r="M269" s="1449"/>
      <c r="N269" s="650" t="str">
        <f>IF('別紙様式2-2（４・５月分）'!Q205="","",'別紙様式2-2（４・５月分）'!Q205)</f>
        <v/>
      </c>
      <c r="O269" s="1369"/>
      <c r="P269" s="1391"/>
      <c r="Q269" s="1505"/>
      <c r="R269" s="1389"/>
      <c r="S269" s="1395"/>
      <c r="T269" s="1460"/>
      <c r="U269" s="1570"/>
      <c r="V269" s="1464"/>
      <c r="W269" s="1466"/>
      <c r="X269" s="1565"/>
      <c r="Y269" s="1408"/>
      <c r="Z269" s="1565"/>
      <c r="AA269" s="1408"/>
      <c r="AB269" s="1565"/>
      <c r="AC269" s="1408"/>
      <c r="AD269" s="1565"/>
      <c r="AE269" s="1408"/>
      <c r="AF269" s="1408"/>
      <c r="AG269" s="1408"/>
      <c r="AH269" s="1410"/>
      <c r="AI269" s="1412"/>
      <c r="AJ269" s="1578"/>
      <c r="AK269" s="1495"/>
      <c r="AL269" s="1580"/>
      <c r="AM269" s="1586"/>
      <c r="AN269" s="1549"/>
      <c r="AO269" s="1555"/>
      <c r="AP269" s="1553"/>
      <c r="AQ269" s="1555"/>
      <c r="AR269" s="1557"/>
      <c r="AS269" s="1559"/>
      <c r="AT269" s="672" t="str">
        <f t="shared" ref="AT269" si="311">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42"/>
      <c r="AV269" s="1493"/>
      <c r="AW269" s="652" t="str">
        <f>IF('別紙様式2-2（４・５月分）'!O205="","",'別紙様式2-2（４・５月分）'!O205)</f>
        <v/>
      </c>
      <c r="AX269" s="1507"/>
      <c r="AY269" s="673"/>
      <c r="AZ269" s="1321" t="str">
        <f>IF(OR(U269="新加算Ⅰ",U269="新加算Ⅱ",U269="新加算Ⅲ",U269="新加算Ⅳ",U269="新加算Ⅴ（１）",U269="新加算Ⅴ（２）",U269="新加算Ⅴ（３）",U269="新加算ⅠⅤ（４）",U269="新加算Ⅴ（５）",U269="新加算Ⅴ（６）",U269="新加算Ⅴ（８）",U269="新加算Ⅴ（11）"),IF(AJ269="○","","未入力"),"")</f>
        <v/>
      </c>
      <c r="BA269" s="1321" t="str">
        <f>IF(OR(V269="新加算Ⅰ",V269="新加算Ⅱ",V269="新加算Ⅲ",V269="新加算Ⅳ",V269="新加算Ⅴ（１）",V269="新加算Ⅴ（２）",V269="新加算Ⅴ（３）",V269="新加算ⅠⅤ（４）",V269="新加算Ⅴ（５）",V269="新加算Ⅴ（６）",V269="新加算Ⅴ（８）",V269="新加算Ⅴ（11）"),IF(AK269="○","","未入力"),"")</f>
        <v/>
      </c>
      <c r="BB269" s="1321" t="str">
        <f>IF(OR(V269="新加算Ⅴ（７）",V269="新加算Ⅴ（９）",V269="新加算Ⅴ（10）",V269="新加算Ⅴ（12）",V269="新加算Ⅴ（13）",V269="新加算Ⅴ（14）"),IF(AL269="○","","未入力"),"")</f>
        <v/>
      </c>
      <c r="BC269" s="1321" t="str">
        <f>IF(OR(V269="新加算Ⅰ",V269="新加算Ⅱ",V269="新加算Ⅲ",V269="新加算Ⅴ（１）",V269="新加算Ⅴ（３）",V269="新加算Ⅴ（８）"),IF(AM269="○","","未入力"),"")</f>
        <v/>
      </c>
      <c r="BD269" s="1588"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493" t="str">
        <f>IF(AND(U269&lt;&gt;"（参考）令和７年度の移行予定",OR(V269="新加算Ⅰ",V269="新加算Ⅴ（１）",V269="新加算Ⅴ（２）",V269="新加算Ⅴ（５）",V269="新加算Ⅴ（７）",V269="新加算Ⅴ（10）")),IF(AO269="","未入力",IF(AO269="いずれも取得していない","要件を満たさない","")),"")</f>
        <v/>
      </c>
      <c r="BF269" s="1493" t="str">
        <f>G266</f>
        <v/>
      </c>
      <c r="BG269" s="1493"/>
      <c r="BH269" s="1493"/>
    </row>
    <row r="270" spans="1:60" ht="30" customHeight="1">
      <c r="A270" s="1225">
        <v>65</v>
      </c>
      <c r="B270" s="1272" t="str">
        <f>IF(基本情報入力シート!C118="","",基本情報入力シート!C118)</f>
        <v/>
      </c>
      <c r="C270" s="1261"/>
      <c r="D270" s="1261"/>
      <c r="E270" s="1261"/>
      <c r="F270" s="1262"/>
      <c r="G270" s="1266" t="str">
        <f>IF(基本情報入力シート!M118="","",基本情報入力シート!M118)</f>
        <v/>
      </c>
      <c r="H270" s="1266" t="str">
        <f>IF(基本情報入力シート!R118="","",基本情報入力シート!R118)</f>
        <v/>
      </c>
      <c r="I270" s="1266" t="str">
        <f>IF(基本情報入力シート!W118="","",基本情報入力シート!W118)</f>
        <v/>
      </c>
      <c r="J270" s="1372" t="str">
        <f>IF(基本情報入力シート!X118="","",基本情報入力シート!X118)</f>
        <v/>
      </c>
      <c r="K270" s="1266" t="str">
        <f>IF(基本情報入力シート!Y118="","",基本情報入力シート!Y118)</f>
        <v/>
      </c>
      <c r="L270" s="1451" t="str">
        <f>IF(基本情報入力シート!AB118="","",基本情報入力シート!AB118)</f>
        <v/>
      </c>
      <c r="M270" s="1453" t="str">
        <f>IF(基本情報入力シート!AC118="","",基本情報入力シート!AC118)</f>
        <v/>
      </c>
      <c r="N270" s="647" t="str">
        <f>IF('別紙様式2-2（４・５月分）'!Q206="","",'別紙様式2-2（４・５月分）'!Q206)</f>
        <v/>
      </c>
      <c r="O270" s="1366" t="str">
        <f>IF(SUM('別紙様式2-2（４・５月分）'!R206:R208)=0,"",SUM('別紙様式2-2（４・５月分）'!R206:R208))</f>
        <v/>
      </c>
      <c r="P270" s="1380" t="str">
        <f>IFERROR(VLOOKUP('別紙様式2-2（４・５月分）'!AR206,【参考】数式用!$AT$5:$AU$22,2,FALSE),"")</f>
        <v/>
      </c>
      <c r="Q270" s="1381"/>
      <c r="R270" s="1382"/>
      <c r="S270" s="1392" t="str">
        <f>IFERROR(VLOOKUP(K270,【参考】数式用!$A$5:$AB$27,MATCH(P270,【参考】数式用!$B$4:$AB$4,0)+1,0),"")</f>
        <v/>
      </c>
      <c r="T270" s="1413" t="s">
        <v>2258</v>
      </c>
      <c r="U270" s="1562" t="str">
        <f>IF('別紙様式2-3（６月以降分）'!U270="","",'別紙様式2-3（６月以降分）'!U270)</f>
        <v/>
      </c>
      <c r="V270" s="1457" t="str">
        <f>IFERROR(VLOOKUP(K270,【参考】数式用!$A$5:$AB$27,MATCH(U270,【参考】数式用!$B$4:$AB$4,0)+1,0),"")</f>
        <v/>
      </c>
      <c r="W270" s="1350" t="s">
        <v>19</v>
      </c>
      <c r="X270" s="1534">
        <f>'別紙様式2-3（６月以降分）'!X270</f>
        <v>6</v>
      </c>
      <c r="Y270" s="1354" t="s">
        <v>10</v>
      </c>
      <c r="Z270" s="1534">
        <f>'別紙様式2-3（６月以降分）'!Z270</f>
        <v>6</v>
      </c>
      <c r="AA270" s="1354" t="s">
        <v>45</v>
      </c>
      <c r="AB270" s="1534">
        <f>'別紙様式2-3（６月以降分）'!AB270</f>
        <v>7</v>
      </c>
      <c r="AC270" s="1354" t="s">
        <v>10</v>
      </c>
      <c r="AD270" s="1534">
        <f>'別紙様式2-3（６月以降分）'!AD270</f>
        <v>3</v>
      </c>
      <c r="AE270" s="1354" t="s">
        <v>2172</v>
      </c>
      <c r="AF270" s="1354" t="s">
        <v>24</v>
      </c>
      <c r="AG270" s="1354">
        <f>IF(X270&gt;=1,(AB270*12+AD270)-(X270*12+Z270)+1,"")</f>
        <v>10</v>
      </c>
      <c r="AH270" s="1360" t="s">
        <v>38</v>
      </c>
      <c r="AI270" s="1481" t="str">
        <f>'別紙様式2-3（６月以降分）'!AI270</f>
        <v/>
      </c>
      <c r="AJ270" s="1542" t="str">
        <f>'別紙様式2-3（６月以降分）'!AJ270</f>
        <v/>
      </c>
      <c r="AK270" s="1538">
        <f>'別紙様式2-3（６月以降分）'!AK270</f>
        <v>0</v>
      </c>
      <c r="AL270" s="1540" t="str">
        <f>IF('別紙様式2-3（６月以降分）'!AL270="","",'別紙様式2-3（６月以降分）'!AL270)</f>
        <v/>
      </c>
      <c r="AM270" s="1571">
        <f>'別紙様式2-3（６月以降分）'!AM270</f>
        <v>0</v>
      </c>
      <c r="AN270" s="1573" t="str">
        <f>IF('別紙様式2-3（６月以降分）'!AN270="","",'別紙様式2-3（６月以降分）'!AN270)</f>
        <v/>
      </c>
      <c r="AO270" s="1403" t="str">
        <f>IF('別紙様式2-3（６月以降分）'!AO270="","",'別紙様式2-3（６月以降分）'!AO270)</f>
        <v/>
      </c>
      <c r="AP270" s="1502" t="str">
        <f>IF('別紙様式2-3（６月以降分）'!AP270="","",'別紙様式2-3（６月以降分）'!AP270)</f>
        <v/>
      </c>
      <c r="AQ270" s="1403" t="str">
        <f>IF('別紙様式2-3（６月以降分）'!AQ270="","",'別紙様式2-3（６月以降分）'!AQ270)</f>
        <v/>
      </c>
      <c r="AR270" s="1583" t="str">
        <f>IF('別紙様式2-3（６月以降分）'!AR270="","",'別紙様式2-3（６月以降分）'!AR270)</f>
        <v/>
      </c>
      <c r="AS270" s="1536" t="str">
        <f>IF('別紙様式2-3（６月以降分）'!AS270="","",'別紙様式2-3（６月以降分）'!AS270)</f>
        <v/>
      </c>
      <c r="AT270" s="667" t="str">
        <f t="shared" ref="AT270" si="312">IF(AV272="","",IF(V272&lt;V270,"！加算の要件上は問題ありませんが、令和６年度当初の新加算の加算率と比較して、移行後の加算率が下がる計画になっています。",""))</f>
        <v/>
      </c>
      <c r="AU270" s="674"/>
      <c r="AV270" s="1233"/>
      <c r="AW270" s="652" t="str">
        <f>IF('別紙様式2-2（４・５月分）'!O206="","",'別紙様式2-2（４・５月分）'!O206)</f>
        <v/>
      </c>
      <c r="AX270" s="1507" t="str">
        <f>IF(SUM('別紙様式2-2（４・５月分）'!P206:P208)=0,"",SUM('別紙様式2-2（４・５月分）'!P206:P208))</f>
        <v/>
      </c>
      <c r="AY270" s="1590" t="str">
        <f>IFERROR(VLOOKUP(K270,【参考】数式用!$AJ$2:$AK$24,2,FALSE),"")</f>
        <v/>
      </c>
      <c r="AZ270" s="584"/>
      <c r="BE270" s="428"/>
      <c r="BF270" s="1493" t="str">
        <f>G270</f>
        <v/>
      </c>
      <c r="BG270" s="1493"/>
      <c r="BH270" s="1493"/>
    </row>
    <row r="271" spans="1:60" ht="15" customHeight="1">
      <c r="A271" s="1226"/>
      <c r="B271" s="1272"/>
      <c r="C271" s="1261"/>
      <c r="D271" s="1261"/>
      <c r="E271" s="1261"/>
      <c r="F271" s="1262"/>
      <c r="G271" s="1266"/>
      <c r="H271" s="1266"/>
      <c r="I271" s="1266"/>
      <c r="J271" s="1372"/>
      <c r="K271" s="1266"/>
      <c r="L271" s="1451"/>
      <c r="M271" s="1453"/>
      <c r="N271" s="1370" t="str">
        <f>IF('別紙様式2-2（４・５月分）'!Q207="","",'別紙様式2-2（４・５月分）'!Q207)</f>
        <v/>
      </c>
      <c r="O271" s="1367"/>
      <c r="P271" s="1383"/>
      <c r="Q271" s="1384"/>
      <c r="R271" s="1385"/>
      <c r="S271" s="1393"/>
      <c r="T271" s="1414"/>
      <c r="U271" s="1563"/>
      <c r="V271" s="1458"/>
      <c r="W271" s="1351"/>
      <c r="X271" s="1535"/>
      <c r="Y271" s="1355"/>
      <c r="Z271" s="1535"/>
      <c r="AA271" s="1355"/>
      <c r="AB271" s="1535"/>
      <c r="AC271" s="1355"/>
      <c r="AD271" s="1535"/>
      <c r="AE271" s="1355"/>
      <c r="AF271" s="1355"/>
      <c r="AG271" s="1355"/>
      <c r="AH271" s="1361"/>
      <c r="AI271" s="1482"/>
      <c r="AJ271" s="1543"/>
      <c r="AK271" s="1539"/>
      <c r="AL271" s="1541"/>
      <c r="AM271" s="1572"/>
      <c r="AN271" s="1574"/>
      <c r="AO271" s="1404"/>
      <c r="AP271" s="1533"/>
      <c r="AQ271" s="1404"/>
      <c r="AR271" s="1584"/>
      <c r="AS271" s="1537"/>
      <c r="AT271" s="1532" t="str">
        <f t="shared" ref="AT271" si="313">IF(AV272="","",IF(OR(AB272="",AB272&lt;&gt;7,AD272="",AD272&lt;&gt;3),"！算定期間の終わりが令和７年３月になっていません。年度内の廃止予定等がなければ、算定対象月を令和７年３月にしてください。",""))</f>
        <v/>
      </c>
      <c r="AU271" s="674"/>
      <c r="AV271" s="1493"/>
      <c r="AW271" s="1518" t="str">
        <f>IF('別紙様式2-2（４・５月分）'!O207="","",'別紙様式2-2（４・５月分）'!O207)</f>
        <v/>
      </c>
      <c r="AX271" s="1507"/>
      <c r="AY271" s="1589"/>
      <c r="AZ271" s="521"/>
      <c r="BE271" s="428"/>
      <c r="BF271" s="1493" t="str">
        <f>G270</f>
        <v/>
      </c>
      <c r="BG271" s="1493"/>
      <c r="BH271" s="1493"/>
    </row>
    <row r="272" spans="1:60" ht="15" customHeight="1">
      <c r="A272" s="1240"/>
      <c r="B272" s="1272"/>
      <c r="C272" s="1261"/>
      <c r="D272" s="1261"/>
      <c r="E272" s="1261"/>
      <c r="F272" s="1262"/>
      <c r="G272" s="1266"/>
      <c r="H272" s="1266"/>
      <c r="I272" s="1266"/>
      <c r="J272" s="1372"/>
      <c r="K272" s="1266"/>
      <c r="L272" s="1451"/>
      <c r="M272" s="1453"/>
      <c r="N272" s="1371"/>
      <c r="O272" s="1368"/>
      <c r="P272" s="1390" t="s">
        <v>2179</v>
      </c>
      <c r="Q272" s="1504" t="str">
        <f>IFERROR(VLOOKUP('別紙様式2-2（４・５月分）'!AR206,【参考】数式用!$AT$5:$AV$22,3,FALSE),"")</f>
        <v/>
      </c>
      <c r="R272" s="1388" t="s">
        <v>2190</v>
      </c>
      <c r="S272" s="1394" t="str">
        <f>IFERROR(VLOOKUP(K270,【参考】数式用!$A$5:$AB$27,MATCH(Q272,【参考】数式用!$B$4:$AB$4,0)+1,0),"")</f>
        <v/>
      </c>
      <c r="T272" s="1459" t="s">
        <v>2267</v>
      </c>
      <c r="U272" s="1569"/>
      <c r="V272" s="1463" t="str">
        <f>IFERROR(VLOOKUP(K270,【参考】数式用!$A$5:$AB$27,MATCH(U272,【参考】数式用!$B$4:$AB$4,0)+1,0),"")</f>
        <v/>
      </c>
      <c r="W272" s="1465" t="s">
        <v>19</v>
      </c>
      <c r="X272" s="1564"/>
      <c r="Y272" s="1407" t="s">
        <v>10</v>
      </c>
      <c r="Z272" s="1564"/>
      <c r="AA272" s="1407" t="s">
        <v>45</v>
      </c>
      <c r="AB272" s="1564"/>
      <c r="AC272" s="1407" t="s">
        <v>10</v>
      </c>
      <c r="AD272" s="1564"/>
      <c r="AE272" s="1407" t="s">
        <v>2172</v>
      </c>
      <c r="AF272" s="1407" t="s">
        <v>24</v>
      </c>
      <c r="AG272" s="1407" t="str">
        <f>IF(X272&gt;=1,(AB272*12+AD272)-(X272*12+Z272)+1,"")</f>
        <v/>
      </c>
      <c r="AH272" s="1409" t="s">
        <v>38</v>
      </c>
      <c r="AI272" s="1411" t="str">
        <f t="shared" ref="AI272" si="314">IFERROR(ROUNDDOWN(ROUND(L270*V272,0)*M270,0)*AG272,"")</f>
        <v/>
      </c>
      <c r="AJ272" s="1577" t="str">
        <f>IFERROR(ROUNDDOWN(ROUND((L270*(V272-AX270)),0)*M270,0)*AG272,"")</f>
        <v/>
      </c>
      <c r="AK272" s="1494" t="str">
        <f>IFERROR(ROUNDDOWN(ROUNDDOWN(ROUND(L270*VLOOKUP(K270,【参考】数式用!$A$5:$AB$27,MATCH("新加算Ⅳ",【参考】数式用!$B$4:$AB$4,0)+1,0),0)*M270,0)*AG272*0.5,0),"")</f>
        <v/>
      </c>
      <c r="AL272" s="1579"/>
      <c r="AM272" s="1585" t="str">
        <f>IFERROR(IF('別紙様式2-2（４・５月分）'!Q208="ベア加算","", IF(OR(U272="新加算Ⅰ",U272="新加算Ⅱ",U272="新加算Ⅲ",U272="新加算Ⅳ"),ROUNDDOWN(ROUND(L270*VLOOKUP(K270,【参考】数式用!$A$5:$I$27,MATCH("ベア加算",【参考】数式用!$B$4:$I$4,0)+1,0),0)*M270,0)*AG272,"")),"")</f>
        <v/>
      </c>
      <c r="AN272" s="1548"/>
      <c r="AO272" s="1554"/>
      <c r="AP272" s="1552"/>
      <c r="AQ272" s="1554"/>
      <c r="AR272" s="1556"/>
      <c r="AS272" s="1558"/>
      <c r="AT272" s="1532"/>
      <c r="AU272" s="542"/>
      <c r="AV272" s="1493" t="str">
        <f t="shared" ref="AV272" si="315">IF(OR(AB270&lt;&gt;7,AD270&lt;&gt;3),"V列に色付け","")</f>
        <v/>
      </c>
      <c r="AW272" s="1518"/>
      <c r="AX272" s="1507"/>
      <c r="AY272" s="671"/>
      <c r="AZ272" s="1321" t="str">
        <f>IF(AM272&lt;&gt;"",IF(AN272="○","入力済","未入力"),"")</f>
        <v/>
      </c>
      <c r="BA272" s="1321"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321" t="str">
        <f>IF(OR(U272="新加算Ⅴ（７）",U272="新加算Ⅴ（９）",U272="新加算Ⅴ（10）",U272="新加算Ⅴ（12）",U272="新加算Ⅴ（13）",U272="新加算Ⅴ（14）"),IF(OR(AP272="○",AP272="令和６年度中に満たす"),"入力済","未入力"),"")</f>
        <v/>
      </c>
      <c r="BC272" s="1321" t="str">
        <f>IF(OR(U272="新加算Ⅰ",U272="新加算Ⅱ",U272="新加算Ⅲ",U272="新加算Ⅴ（１）",U272="新加算Ⅴ（３）",U272="新加算Ⅴ（８）"),IF(OR(AQ272="○",AQ272="令和６年度中に満たす"),"入力済","未入力"),"")</f>
        <v/>
      </c>
      <c r="BD272" s="1588"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493" t="str">
        <f>IF(OR(U272="新加算Ⅰ",U272="新加算Ⅴ（１）",U272="新加算Ⅴ（２）",U272="新加算Ⅴ（５）",U272="新加算Ⅴ（７）",U272="新加算Ⅴ（10）"),IF(AS272="","未入力","入力済"),"")</f>
        <v/>
      </c>
      <c r="BF272" s="1493" t="str">
        <f>G270</f>
        <v/>
      </c>
      <c r="BG272" s="1493"/>
      <c r="BH272" s="1493"/>
    </row>
    <row r="273" spans="1:60" ht="30" customHeight="1" thickBot="1">
      <c r="A273" s="1227"/>
      <c r="B273" s="1376"/>
      <c r="C273" s="1377"/>
      <c r="D273" s="1377"/>
      <c r="E273" s="1377"/>
      <c r="F273" s="1378"/>
      <c r="G273" s="1267"/>
      <c r="H273" s="1267"/>
      <c r="I273" s="1267"/>
      <c r="J273" s="1373"/>
      <c r="K273" s="1267"/>
      <c r="L273" s="1452"/>
      <c r="M273" s="1454"/>
      <c r="N273" s="650" t="str">
        <f>IF('別紙様式2-2（４・５月分）'!Q208="","",'別紙様式2-2（４・５月分）'!Q208)</f>
        <v/>
      </c>
      <c r="O273" s="1369"/>
      <c r="P273" s="1391"/>
      <c r="Q273" s="1505"/>
      <c r="R273" s="1389"/>
      <c r="S273" s="1395"/>
      <c r="T273" s="1460"/>
      <c r="U273" s="1570"/>
      <c r="V273" s="1464"/>
      <c r="W273" s="1466"/>
      <c r="X273" s="1565"/>
      <c r="Y273" s="1408"/>
      <c r="Z273" s="1565"/>
      <c r="AA273" s="1408"/>
      <c r="AB273" s="1565"/>
      <c r="AC273" s="1408"/>
      <c r="AD273" s="1565"/>
      <c r="AE273" s="1408"/>
      <c r="AF273" s="1408"/>
      <c r="AG273" s="1408"/>
      <c r="AH273" s="1410"/>
      <c r="AI273" s="1412"/>
      <c r="AJ273" s="1578"/>
      <c r="AK273" s="1495"/>
      <c r="AL273" s="1580"/>
      <c r="AM273" s="1586"/>
      <c r="AN273" s="1549"/>
      <c r="AO273" s="1555"/>
      <c r="AP273" s="1553"/>
      <c r="AQ273" s="1555"/>
      <c r="AR273" s="1557"/>
      <c r="AS273" s="1559"/>
      <c r="AT273" s="672" t="str">
        <f t="shared" ref="AT273" si="316">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42"/>
      <c r="AV273" s="1493"/>
      <c r="AW273" s="652" t="str">
        <f>IF('別紙様式2-2（４・５月分）'!O208="","",'別紙様式2-2（４・５月分）'!O208)</f>
        <v/>
      </c>
      <c r="AX273" s="1507"/>
      <c r="AY273" s="673"/>
      <c r="AZ273" s="1321" t="str">
        <f>IF(OR(U273="新加算Ⅰ",U273="新加算Ⅱ",U273="新加算Ⅲ",U273="新加算Ⅳ",U273="新加算Ⅴ（１）",U273="新加算Ⅴ（２）",U273="新加算Ⅴ（３）",U273="新加算ⅠⅤ（４）",U273="新加算Ⅴ（５）",U273="新加算Ⅴ（６）",U273="新加算Ⅴ（８）",U273="新加算Ⅴ（11）"),IF(AJ273="○","","未入力"),"")</f>
        <v/>
      </c>
      <c r="BA273" s="1321" t="str">
        <f>IF(OR(V273="新加算Ⅰ",V273="新加算Ⅱ",V273="新加算Ⅲ",V273="新加算Ⅳ",V273="新加算Ⅴ（１）",V273="新加算Ⅴ（２）",V273="新加算Ⅴ（３）",V273="新加算ⅠⅤ（４）",V273="新加算Ⅴ（５）",V273="新加算Ⅴ（６）",V273="新加算Ⅴ（８）",V273="新加算Ⅴ（11）"),IF(AK273="○","","未入力"),"")</f>
        <v/>
      </c>
      <c r="BB273" s="1321" t="str">
        <f>IF(OR(V273="新加算Ⅴ（７）",V273="新加算Ⅴ（９）",V273="新加算Ⅴ（10）",V273="新加算Ⅴ（12）",V273="新加算Ⅴ（13）",V273="新加算Ⅴ（14）"),IF(AL273="○","","未入力"),"")</f>
        <v/>
      </c>
      <c r="BC273" s="1321" t="str">
        <f>IF(OR(V273="新加算Ⅰ",V273="新加算Ⅱ",V273="新加算Ⅲ",V273="新加算Ⅴ（１）",V273="新加算Ⅴ（３）",V273="新加算Ⅴ（８）"),IF(AM273="○","","未入力"),"")</f>
        <v/>
      </c>
      <c r="BD273" s="1588"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493" t="str">
        <f>IF(AND(U273&lt;&gt;"（参考）令和７年度の移行予定",OR(V273="新加算Ⅰ",V273="新加算Ⅴ（１）",V273="新加算Ⅴ（２）",V273="新加算Ⅴ（５）",V273="新加算Ⅴ（７）",V273="新加算Ⅴ（10）")),IF(AO273="","未入力",IF(AO273="いずれも取得していない","要件を満たさない","")),"")</f>
        <v/>
      </c>
      <c r="BF273" s="1493" t="str">
        <f>G270</f>
        <v/>
      </c>
      <c r="BG273" s="1493"/>
      <c r="BH273" s="1493"/>
    </row>
    <row r="274" spans="1:60" ht="30" customHeight="1">
      <c r="A274" s="1241">
        <v>66</v>
      </c>
      <c r="B274" s="1271" t="str">
        <f>IF(基本情報入力シート!C119="","",基本情報入力シート!C119)</f>
        <v/>
      </c>
      <c r="C274" s="1259"/>
      <c r="D274" s="1259"/>
      <c r="E274" s="1259"/>
      <c r="F274" s="1260"/>
      <c r="G274" s="1265" t="str">
        <f>IF(基本情報入力シート!M119="","",基本情報入力シート!M119)</f>
        <v/>
      </c>
      <c r="H274" s="1265" t="str">
        <f>IF(基本情報入力シート!R119="","",基本情報入力シート!R119)</f>
        <v/>
      </c>
      <c r="I274" s="1265" t="str">
        <f>IF(基本情報入力シート!W119="","",基本情報入力シート!W119)</f>
        <v/>
      </c>
      <c r="J274" s="1379" t="str">
        <f>IF(基本情報入力シート!X119="","",基本情報入力シート!X119)</f>
        <v/>
      </c>
      <c r="K274" s="1265" t="str">
        <f>IF(基本情報入力シート!Y119="","",基本情報入力シート!Y119)</f>
        <v/>
      </c>
      <c r="L274" s="1450" t="str">
        <f>IF(基本情報入力シート!AB119="","",基本情報入力シート!AB119)</f>
        <v/>
      </c>
      <c r="M274" s="1447" t="str">
        <f>IF(基本情報入力シート!AC119="","",基本情報入力シート!AC119)</f>
        <v/>
      </c>
      <c r="N274" s="647" t="str">
        <f>IF('別紙様式2-2（４・５月分）'!Q209="","",'別紙様式2-2（４・５月分）'!Q209)</f>
        <v/>
      </c>
      <c r="O274" s="1366" t="str">
        <f>IF(SUM('別紙様式2-2（４・５月分）'!R209:R211)=0,"",SUM('別紙様式2-2（４・５月分）'!R209:R211))</f>
        <v/>
      </c>
      <c r="P274" s="1380" t="str">
        <f>IFERROR(VLOOKUP('別紙様式2-2（４・５月分）'!AR209,【参考】数式用!$AT$5:$AU$22,2,FALSE),"")</f>
        <v/>
      </c>
      <c r="Q274" s="1381"/>
      <c r="R274" s="1382"/>
      <c r="S274" s="1392" t="str">
        <f>IFERROR(VLOOKUP(K274,【参考】数式用!$A$5:$AB$27,MATCH(P274,【参考】数式用!$B$4:$AB$4,0)+1,0),"")</f>
        <v/>
      </c>
      <c r="T274" s="1413" t="s">
        <v>2258</v>
      </c>
      <c r="U274" s="1562" t="str">
        <f>IF('別紙様式2-3（６月以降分）'!U274="","",'別紙様式2-3（６月以降分）'!U274)</f>
        <v/>
      </c>
      <c r="V274" s="1457" t="str">
        <f>IFERROR(VLOOKUP(K274,【参考】数式用!$A$5:$AB$27,MATCH(U274,【参考】数式用!$B$4:$AB$4,0)+1,0),"")</f>
        <v/>
      </c>
      <c r="W274" s="1350" t="s">
        <v>19</v>
      </c>
      <c r="X274" s="1534">
        <f>'別紙様式2-3（６月以降分）'!X274</f>
        <v>6</v>
      </c>
      <c r="Y274" s="1354" t="s">
        <v>10</v>
      </c>
      <c r="Z274" s="1534">
        <f>'別紙様式2-3（６月以降分）'!Z274</f>
        <v>6</v>
      </c>
      <c r="AA274" s="1354" t="s">
        <v>45</v>
      </c>
      <c r="AB274" s="1534">
        <f>'別紙様式2-3（６月以降分）'!AB274</f>
        <v>7</v>
      </c>
      <c r="AC274" s="1354" t="s">
        <v>10</v>
      </c>
      <c r="AD274" s="1534">
        <f>'別紙様式2-3（６月以降分）'!AD274</f>
        <v>3</v>
      </c>
      <c r="AE274" s="1354" t="s">
        <v>2172</v>
      </c>
      <c r="AF274" s="1354" t="s">
        <v>24</v>
      </c>
      <c r="AG274" s="1354">
        <f>IF(X274&gt;=1,(AB274*12+AD274)-(X274*12+Z274)+1,"")</f>
        <v>10</v>
      </c>
      <c r="AH274" s="1360" t="s">
        <v>38</v>
      </c>
      <c r="AI274" s="1481" t="str">
        <f>'別紙様式2-3（６月以降分）'!AI274</f>
        <v/>
      </c>
      <c r="AJ274" s="1542" t="str">
        <f>'別紙様式2-3（６月以降分）'!AJ274</f>
        <v/>
      </c>
      <c r="AK274" s="1538">
        <f>'別紙様式2-3（６月以降分）'!AK274</f>
        <v>0</v>
      </c>
      <c r="AL274" s="1540" t="str">
        <f>IF('別紙様式2-3（６月以降分）'!AL274="","",'別紙様式2-3（６月以降分）'!AL274)</f>
        <v/>
      </c>
      <c r="AM274" s="1571">
        <f>'別紙様式2-3（６月以降分）'!AM274</f>
        <v>0</v>
      </c>
      <c r="AN274" s="1573" t="str">
        <f>IF('別紙様式2-3（６月以降分）'!AN274="","",'別紙様式2-3（６月以降分）'!AN274)</f>
        <v/>
      </c>
      <c r="AO274" s="1403" t="str">
        <f>IF('別紙様式2-3（６月以降分）'!AO274="","",'別紙様式2-3（６月以降分）'!AO274)</f>
        <v/>
      </c>
      <c r="AP274" s="1502" t="str">
        <f>IF('別紙様式2-3（６月以降分）'!AP274="","",'別紙様式2-3（６月以降分）'!AP274)</f>
        <v/>
      </c>
      <c r="AQ274" s="1403" t="str">
        <f>IF('別紙様式2-3（６月以降分）'!AQ274="","",'別紙様式2-3（６月以降分）'!AQ274)</f>
        <v/>
      </c>
      <c r="AR274" s="1583" t="str">
        <f>IF('別紙様式2-3（６月以降分）'!AR274="","",'別紙様式2-3（６月以降分）'!AR274)</f>
        <v/>
      </c>
      <c r="AS274" s="1536" t="str">
        <f>IF('別紙様式2-3（６月以降分）'!AS274="","",'別紙様式2-3（６月以降分）'!AS274)</f>
        <v/>
      </c>
      <c r="AT274" s="667" t="str">
        <f t="shared" ref="AT274" si="317">IF(AV276="","",IF(V276&lt;V274,"！加算の要件上は問題ありませんが、令和６年度当初の新加算の加算率と比較して、移行後の加算率が下がる計画になっています。",""))</f>
        <v/>
      </c>
      <c r="AU274" s="674"/>
      <c r="AV274" s="1233"/>
      <c r="AW274" s="652" t="str">
        <f>IF('別紙様式2-2（４・５月分）'!O209="","",'別紙様式2-2（４・５月分）'!O209)</f>
        <v/>
      </c>
      <c r="AX274" s="1507" t="str">
        <f>IF(SUM('別紙様式2-2（４・５月分）'!P209:P211)=0,"",SUM('別紙様式2-2（４・５月分）'!P209:P211))</f>
        <v/>
      </c>
      <c r="AY274" s="1589" t="str">
        <f>IFERROR(VLOOKUP(K274,【参考】数式用!$AJ$2:$AK$24,2,FALSE),"")</f>
        <v/>
      </c>
      <c r="AZ274" s="584"/>
      <c r="BE274" s="428"/>
      <c r="BF274" s="1493" t="str">
        <f>G274</f>
        <v/>
      </c>
      <c r="BG274" s="1493"/>
      <c r="BH274" s="1493"/>
    </row>
    <row r="275" spans="1:60" ht="15" customHeight="1">
      <c r="A275" s="1226"/>
      <c r="B275" s="1272"/>
      <c r="C275" s="1261"/>
      <c r="D275" s="1261"/>
      <c r="E275" s="1261"/>
      <c r="F275" s="1262"/>
      <c r="G275" s="1266"/>
      <c r="H275" s="1266"/>
      <c r="I275" s="1266"/>
      <c r="J275" s="1372"/>
      <c r="K275" s="1266"/>
      <c r="L275" s="1451"/>
      <c r="M275" s="1448"/>
      <c r="N275" s="1370" t="str">
        <f>IF('別紙様式2-2（４・５月分）'!Q210="","",'別紙様式2-2（４・５月分）'!Q210)</f>
        <v/>
      </c>
      <c r="O275" s="1367"/>
      <c r="P275" s="1383"/>
      <c r="Q275" s="1384"/>
      <c r="R275" s="1385"/>
      <c r="S275" s="1393"/>
      <c r="T275" s="1414"/>
      <c r="U275" s="1563"/>
      <c r="V275" s="1458"/>
      <c r="W275" s="1351"/>
      <c r="X275" s="1535"/>
      <c r="Y275" s="1355"/>
      <c r="Z275" s="1535"/>
      <c r="AA275" s="1355"/>
      <c r="AB275" s="1535"/>
      <c r="AC275" s="1355"/>
      <c r="AD275" s="1535"/>
      <c r="AE275" s="1355"/>
      <c r="AF275" s="1355"/>
      <c r="AG275" s="1355"/>
      <c r="AH275" s="1361"/>
      <c r="AI275" s="1482"/>
      <c r="AJ275" s="1543"/>
      <c r="AK275" s="1539"/>
      <c r="AL275" s="1541"/>
      <c r="AM275" s="1572"/>
      <c r="AN275" s="1574"/>
      <c r="AO275" s="1404"/>
      <c r="AP275" s="1533"/>
      <c r="AQ275" s="1404"/>
      <c r="AR275" s="1584"/>
      <c r="AS275" s="1537"/>
      <c r="AT275" s="1532" t="str">
        <f t="shared" ref="AT275" si="318">IF(AV276="","",IF(OR(AB276="",AB276&lt;&gt;7,AD276="",AD276&lt;&gt;3),"！算定期間の終わりが令和７年３月になっていません。年度内の廃止予定等がなければ、算定対象月を令和７年３月にしてください。",""))</f>
        <v/>
      </c>
      <c r="AU275" s="674"/>
      <c r="AV275" s="1493"/>
      <c r="AW275" s="1518" t="str">
        <f>IF('別紙様式2-2（４・５月分）'!O210="","",'別紙様式2-2（４・５月分）'!O210)</f>
        <v/>
      </c>
      <c r="AX275" s="1507"/>
      <c r="AY275" s="1589"/>
      <c r="AZ275" s="521"/>
      <c r="BE275" s="428"/>
      <c r="BF275" s="1493" t="str">
        <f>G274</f>
        <v/>
      </c>
      <c r="BG275" s="1493"/>
      <c r="BH275" s="1493"/>
    </row>
    <row r="276" spans="1:60" ht="15" customHeight="1">
      <c r="A276" s="1240"/>
      <c r="B276" s="1272"/>
      <c r="C276" s="1261"/>
      <c r="D276" s="1261"/>
      <c r="E276" s="1261"/>
      <c r="F276" s="1262"/>
      <c r="G276" s="1266"/>
      <c r="H276" s="1266"/>
      <c r="I276" s="1266"/>
      <c r="J276" s="1372"/>
      <c r="K276" s="1266"/>
      <c r="L276" s="1451"/>
      <c r="M276" s="1448"/>
      <c r="N276" s="1371"/>
      <c r="O276" s="1368"/>
      <c r="P276" s="1390" t="s">
        <v>2179</v>
      </c>
      <c r="Q276" s="1504" t="str">
        <f>IFERROR(VLOOKUP('別紙様式2-2（４・５月分）'!AR209,【参考】数式用!$AT$5:$AV$22,3,FALSE),"")</f>
        <v/>
      </c>
      <c r="R276" s="1388" t="s">
        <v>2190</v>
      </c>
      <c r="S276" s="1396" t="str">
        <f>IFERROR(VLOOKUP(K274,【参考】数式用!$A$5:$AB$27,MATCH(Q276,【参考】数式用!$B$4:$AB$4,0)+1,0),"")</f>
        <v/>
      </c>
      <c r="T276" s="1459" t="s">
        <v>2267</v>
      </c>
      <c r="U276" s="1569"/>
      <c r="V276" s="1463" t="str">
        <f>IFERROR(VLOOKUP(K274,【参考】数式用!$A$5:$AB$27,MATCH(U276,【参考】数式用!$B$4:$AB$4,0)+1,0),"")</f>
        <v/>
      </c>
      <c r="W276" s="1465" t="s">
        <v>19</v>
      </c>
      <c r="X276" s="1564"/>
      <c r="Y276" s="1407" t="s">
        <v>10</v>
      </c>
      <c r="Z276" s="1564"/>
      <c r="AA276" s="1407" t="s">
        <v>45</v>
      </c>
      <c r="AB276" s="1564"/>
      <c r="AC276" s="1407" t="s">
        <v>10</v>
      </c>
      <c r="AD276" s="1564"/>
      <c r="AE276" s="1407" t="s">
        <v>2172</v>
      </c>
      <c r="AF276" s="1407" t="s">
        <v>24</v>
      </c>
      <c r="AG276" s="1407" t="str">
        <f>IF(X276&gt;=1,(AB276*12+AD276)-(X276*12+Z276)+1,"")</f>
        <v/>
      </c>
      <c r="AH276" s="1409" t="s">
        <v>38</v>
      </c>
      <c r="AI276" s="1411" t="str">
        <f t="shared" ref="AI276" si="319">IFERROR(ROUNDDOWN(ROUND(L274*V276,0)*M274,0)*AG276,"")</f>
        <v/>
      </c>
      <c r="AJ276" s="1577" t="str">
        <f>IFERROR(ROUNDDOWN(ROUND((L274*(V276-AX274)),0)*M274,0)*AG276,"")</f>
        <v/>
      </c>
      <c r="AK276" s="1494" t="str">
        <f>IFERROR(ROUNDDOWN(ROUNDDOWN(ROUND(L274*VLOOKUP(K274,【参考】数式用!$A$5:$AB$27,MATCH("新加算Ⅳ",【参考】数式用!$B$4:$AB$4,0)+1,0),0)*M274,0)*AG276*0.5,0),"")</f>
        <v/>
      </c>
      <c r="AL276" s="1579"/>
      <c r="AM276" s="1585" t="str">
        <f>IFERROR(IF('別紙様式2-2（４・５月分）'!Q211="ベア加算","", IF(OR(U276="新加算Ⅰ",U276="新加算Ⅱ",U276="新加算Ⅲ",U276="新加算Ⅳ"),ROUNDDOWN(ROUND(L274*VLOOKUP(K274,【参考】数式用!$A$5:$I$27,MATCH("ベア加算",【参考】数式用!$B$4:$I$4,0)+1,0),0)*M274,0)*AG276,"")),"")</f>
        <v/>
      </c>
      <c r="AN276" s="1548"/>
      <c r="AO276" s="1554"/>
      <c r="AP276" s="1552"/>
      <c r="AQ276" s="1554"/>
      <c r="AR276" s="1556"/>
      <c r="AS276" s="1558"/>
      <c r="AT276" s="1532"/>
      <c r="AU276" s="542"/>
      <c r="AV276" s="1493" t="str">
        <f t="shared" ref="AV276" si="320">IF(OR(AB274&lt;&gt;7,AD274&lt;&gt;3),"V列に色付け","")</f>
        <v/>
      </c>
      <c r="AW276" s="1518"/>
      <c r="AX276" s="1507"/>
      <c r="AY276" s="671"/>
      <c r="AZ276" s="1321" t="str">
        <f>IF(AM276&lt;&gt;"",IF(AN276="○","入力済","未入力"),"")</f>
        <v/>
      </c>
      <c r="BA276" s="1321"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321" t="str">
        <f>IF(OR(U276="新加算Ⅴ（７）",U276="新加算Ⅴ（９）",U276="新加算Ⅴ（10）",U276="新加算Ⅴ（12）",U276="新加算Ⅴ（13）",U276="新加算Ⅴ（14）"),IF(OR(AP276="○",AP276="令和６年度中に満たす"),"入力済","未入力"),"")</f>
        <v/>
      </c>
      <c r="BC276" s="1321" t="str">
        <f>IF(OR(U276="新加算Ⅰ",U276="新加算Ⅱ",U276="新加算Ⅲ",U276="新加算Ⅴ（１）",U276="新加算Ⅴ（３）",U276="新加算Ⅴ（８）"),IF(OR(AQ276="○",AQ276="令和６年度中に満たす"),"入力済","未入力"),"")</f>
        <v/>
      </c>
      <c r="BD276" s="1588"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493" t="str">
        <f>IF(OR(U276="新加算Ⅰ",U276="新加算Ⅴ（１）",U276="新加算Ⅴ（２）",U276="新加算Ⅴ（５）",U276="新加算Ⅴ（７）",U276="新加算Ⅴ（10）"),IF(AS276="","未入力","入力済"),"")</f>
        <v/>
      </c>
      <c r="BF276" s="1493" t="str">
        <f>G274</f>
        <v/>
      </c>
      <c r="BG276" s="1493"/>
      <c r="BH276" s="1493"/>
    </row>
    <row r="277" spans="1:60" ht="30" customHeight="1" thickBot="1">
      <c r="A277" s="1227"/>
      <c r="B277" s="1376"/>
      <c r="C277" s="1377"/>
      <c r="D277" s="1377"/>
      <c r="E277" s="1377"/>
      <c r="F277" s="1378"/>
      <c r="G277" s="1267"/>
      <c r="H277" s="1267"/>
      <c r="I277" s="1267"/>
      <c r="J277" s="1373"/>
      <c r="K277" s="1267"/>
      <c r="L277" s="1452"/>
      <c r="M277" s="1449"/>
      <c r="N277" s="650" t="str">
        <f>IF('別紙様式2-2（４・５月分）'!Q211="","",'別紙様式2-2（４・５月分）'!Q211)</f>
        <v/>
      </c>
      <c r="O277" s="1369"/>
      <c r="P277" s="1391"/>
      <c r="Q277" s="1505"/>
      <c r="R277" s="1389"/>
      <c r="S277" s="1395"/>
      <c r="T277" s="1460"/>
      <c r="U277" s="1570"/>
      <c r="V277" s="1464"/>
      <c r="W277" s="1466"/>
      <c r="X277" s="1565"/>
      <c r="Y277" s="1408"/>
      <c r="Z277" s="1565"/>
      <c r="AA277" s="1408"/>
      <c r="AB277" s="1565"/>
      <c r="AC277" s="1408"/>
      <c r="AD277" s="1565"/>
      <c r="AE277" s="1408"/>
      <c r="AF277" s="1408"/>
      <c r="AG277" s="1408"/>
      <c r="AH277" s="1410"/>
      <c r="AI277" s="1412"/>
      <c r="AJ277" s="1578"/>
      <c r="AK277" s="1495"/>
      <c r="AL277" s="1580"/>
      <c r="AM277" s="1586"/>
      <c r="AN277" s="1549"/>
      <c r="AO277" s="1555"/>
      <c r="AP277" s="1553"/>
      <c r="AQ277" s="1555"/>
      <c r="AR277" s="1557"/>
      <c r="AS277" s="1559"/>
      <c r="AT277" s="672" t="str">
        <f t="shared" ref="AT277" si="321">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42"/>
      <c r="AV277" s="1493"/>
      <c r="AW277" s="652" t="str">
        <f>IF('別紙様式2-2（４・５月分）'!O211="","",'別紙様式2-2（４・５月分）'!O211)</f>
        <v/>
      </c>
      <c r="AX277" s="1507"/>
      <c r="AY277" s="673"/>
      <c r="AZ277" s="1321" t="str">
        <f>IF(OR(U277="新加算Ⅰ",U277="新加算Ⅱ",U277="新加算Ⅲ",U277="新加算Ⅳ",U277="新加算Ⅴ（１）",U277="新加算Ⅴ（２）",U277="新加算Ⅴ（３）",U277="新加算ⅠⅤ（４）",U277="新加算Ⅴ（５）",U277="新加算Ⅴ（６）",U277="新加算Ⅴ（８）",U277="新加算Ⅴ（11）"),IF(AJ277="○","","未入力"),"")</f>
        <v/>
      </c>
      <c r="BA277" s="1321" t="str">
        <f>IF(OR(V277="新加算Ⅰ",V277="新加算Ⅱ",V277="新加算Ⅲ",V277="新加算Ⅳ",V277="新加算Ⅴ（１）",V277="新加算Ⅴ（２）",V277="新加算Ⅴ（３）",V277="新加算ⅠⅤ（４）",V277="新加算Ⅴ（５）",V277="新加算Ⅴ（６）",V277="新加算Ⅴ（８）",V277="新加算Ⅴ（11）"),IF(AK277="○","","未入力"),"")</f>
        <v/>
      </c>
      <c r="BB277" s="1321" t="str">
        <f>IF(OR(V277="新加算Ⅴ（７）",V277="新加算Ⅴ（９）",V277="新加算Ⅴ（10）",V277="新加算Ⅴ（12）",V277="新加算Ⅴ（13）",V277="新加算Ⅴ（14）"),IF(AL277="○","","未入力"),"")</f>
        <v/>
      </c>
      <c r="BC277" s="1321" t="str">
        <f>IF(OR(V277="新加算Ⅰ",V277="新加算Ⅱ",V277="新加算Ⅲ",V277="新加算Ⅴ（１）",V277="新加算Ⅴ（３）",V277="新加算Ⅴ（８）"),IF(AM277="○","","未入力"),"")</f>
        <v/>
      </c>
      <c r="BD277" s="1588"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493" t="str">
        <f>IF(AND(U277&lt;&gt;"（参考）令和７年度の移行予定",OR(V277="新加算Ⅰ",V277="新加算Ⅴ（１）",V277="新加算Ⅴ（２）",V277="新加算Ⅴ（５）",V277="新加算Ⅴ（７）",V277="新加算Ⅴ（10）")),IF(AO277="","未入力",IF(AO277="いずれも取得していない","要件を満たさない","")),"")</f>
        <v/>
      </c>
      <c r="BF277" s="1493" t="str">
        <f>G274</f>
        <v/>
      </c>
      <c r="BG277" s="1493"/>
      <c r="BH277" s="1493"/>
    </row>
    <row r="278" spans="1:60" ht="30" customHeight="1">
      <c r="A278" s="1225">
        <v>67</v>
      </c>
      <c r="B278" s="1272" t="str">
        <f>IF(基本情報入力シート!C120="","",基本情報入力シート!C120)</f>
        <v/>
      </c>
      <c r="C278" s="1261"/>
      <c r="D278" s="1261"/>
      <c r="E278" s="1261"/>
      <c r="F278" s="1262"/>
      <c r="G278" s="1266" t="str">
        <f>IF(基本情報入力シート!M120="","",基本情報入力シート!M120)</f>
        <v/>
      </c>
      <c r="H278" s="1266" t="str">
        <f>IF(基本情報入力シート!R120="","",基本情報入力シート!R120)</f>
        <v/>
      </c>
      <c r="I278" s="1266" t="str">
        <f>IF(基本情報入力シート!W120="","",基本情報入力シート!W120)</f>
        <v/>
      </c>
      <c r="J278" s="1372" t="str">
        <f>IF(基本情報入力シート!X120="","",基本情報入力シート!X120)</f>
        <v/>
      </c>
      <c r="K278" s="1266" t="str">
        <f>IF(基本情報入力シート!Y120="","",基本情報入力シート!Y120)</f>
        <v/>
      </c>
      <c r="L278" s="1451" t="str">
        <f>IF(基本情報入力シート!AB120="","",基本情報入力シート!AB120)</f>
        <v/>
      </c>
      <c r="M278" s="1453" t="str">
        <f>IF(基本情報入力シート!AC120="","",基本情報入力シート!AC120)</f>
        <v/>
      </c>
      <c r="N278" s="647" t="str">
        <f>IF('別紙様式2-2（４・５月分）'!Q212="","",'別紙様式2-2（４・５月分）'!Q212)</f>
        <v/>
      </c>
      <c r="O278" s="1366" t="str">
        <f>IF(SUM('別紙様式2-2（４・５月分）'!R212:R214)=0,"",SUM('別紙様式2-2（４・５月分）'!R212:R214))</f>
        <v/>
      </c>
      <c r="P278" s="1380" t="str">
        <f>IFERROR(VLOOKUP('別紙様式2-2（４・５月分）'!AR212,【参考】数式用!$AT$5:$AU$22,2,FALSE),"")</f>
        <v/>
      </c>
      <c r="Q278" s="1381"/>
      <c r="R278" s="1382"/>
      <c r="S278" s="1392" t="str">
        <f>IFERROR(VLOOKUP(K278,【参考】数式用!$A$5:$AB$27,MATCH(P278,【参考】数式用!$B$4:$AB$4,0)+1,0),"")</f>
        <v/>
      </c>
      <c r="T278" s="1413" t="s">
        <v>2258</v>
      </c>
      <c r="U278" s="1562" t="str">
        <f>IF('別紙様式2-3（６月以降分）'!U278="","",'別紙様式2-3（６月以降分）'!U278)</f>
        <v/>
      </c>
      <c r="V278" s="1457" t="str">
        <f>IFERROR(VLOOKUP(K278,【参考】数式用!$A$5:$AB$27,MATCH(U278,【参考】数式用!$B$4:$AB$4,0)+1,0),"")</f>
        <v/>
      </c>
      <c r="W278" s="1350" t="s">
        <v>19</v>
      </c>
      <c r="X278" s="1534">
        <f>'別紙様式2-3（６月以降分）'!X278</f>
        <v>6</v>
      </c>
      <c r="Y278" s="1354" t="s">
        <v>10</v>
      </c>
      <c r="Z278" s="1534">
        <f>'別紙様式2-3（６月以降分）'!Z278</f>
        <v>6</v>
      </c>
      <c r="AA278" s="1354" t="s">
        <v>45</v>
      </c>
      <c r="AB278" s="1534">
        <f>'別紙様式2-3（６月以降分）'!AB278</f>
        <v>7</v>
      </c>
      <c r="AC278" s="1354" t="s">
        <v>10</v>
      </c>
      <c r="AD278" s="1534">
        <f>'別紙様式2-3（６月以降分）'!AD278</f>
        <v>3</v>
      </c>
      <c r="AE278" s="1354" t="s">
        <v>2172</v>
      </c>
      <c r="AF278" s="1354" t="s">
        <v>24</v>
      </c>
      <c r="AG278" s="1354">
        <f>IF(X278&gt;=1,(AB278*12+AD278)-(X278*12+Z278)+1,"")</f>
        <v>10</v>
      </c>
      <c r="AH278" s="1360" t="s">
        <v>38</v>
      </c>
      <c r="AI278" s="1481" t="str">
        <f>'別紙様式2-3（６月以降分）'!AI278</f>
        <v/>
      </c>
      <c r="AJ278" s="1542" t="str">
        <f>'別紙様式2-3（６月以降分）'!AJ278</f>
        <v/>
      </c>
      <c r="AK278" s="1538">
        <f>'別紙様式2-3（６月以降分）'!AK278</f>
        <v>0</v>
      </c>
      <c r="AL278" s="1540" t="str">
        <f>IF('別紙様式2-3（６月以降分）'!AL278="","",'別紙様式2-3（６月以降分）'!AL278)</f>
        <v/>
      </c>
      <c r="AM278" s="1571">
        <f>'別紙様式2-3（６月以降分）'!AM278</f>
        <v>0</v>
      </c>
      <c r="AN278" s="1573" t="str">
        <f>IF('別紙様式2-3（６月以降分）'!AN278="","",'別紙様式2-3（６月以降分）'!AN278)</f>
        <v/>
      </c>
      <c r="AO278" s="1403" t="str">
        <f>IF('別紙様式2-3（６月以降分）'!AO278="","",'別紙様式2-3（６月以降分）'!AO278)</f>
        <v/>
      </c>
      <c r="AP278" s="1502" t="str">
        <f>IF('別紙様式2-3（６月以降分）'!AP278="","",'別紙様式2-3（６月以降分）'!AP278)</f>
        <v/>
      </c>
      <c r="AQ278" s="1403" t="str">
        <f>IF('別紙様式2-3（６月以降分）'!AQ278="","",'別紙様式2-3（６月以降分）'!AQ278)</f>
        <v/>
      </c>
      <c r="AR278" s="1583" t="str">
        <f>IF('別紙様式2-3（６月以降分）'!AR278="","",'別紙様式2-3（６月以降分）'!AR278)</f>
        <v/>
      </c>
      <c r="AS278" s="1536" t="str">
        <f>IF('別紙様式2-3（６月以降分）'!AS278="","",'別紙様式2-3（６月以降分）'!AS278)</f>
        <v/>
      </c>
      <c r="AT278" s="667" t="str">
        <f t="shared" ref="AT278" si="322">IF(AV280="","",IF(V280&lt;V278,"！加算の要件上は問題ありませんが、令和６年度当初の新加算の加算率と比較して、移行後の加算率が下がる計画になっています。",""))</f>
        <v/>
      </c>
      <c r="AU278" s="674"/>
      <c r="AV278" s="1233"/>
      <c r="AW278" s="652" t="str">
        <f>IF('別紙様式2-2（４・５月分）'!O212="","",'別紙様式2-2（４・５月分）'!O212)</f>
        <v/>
      </c>
      <c r="AX278" s="1507" t="str">
        <f>IF(SUM('別紙様式2-2（４・５月分）'!P212:P214)=0,"",SUM('別紙様式2-2（４・５月分）'!P212:P214))</f>
        <v/>
      </c>
      <c r="AY278" s="1590" t="str">
        <f>IFERROR(VLOOKUP(K278,【参考】数式用!$AJ$2:$AK$24,2,FALSE),"")</f>
        <v/>
      </c>
      <c r="AZ278" s="584"/>
      <c r="BE278" s="428"/>
      <c r="BF278" s="1493" t="str">
        <f>G278</f>
        <v/>
      </c>
      <c r="BG278" s="1493"/>
      <c r="BH278" s="1493"/>
    </row>
    <row r="279" spans="1:60" ht="15" customHeight="1">
      <c r="A279" s="1226"/>
      <c r="B279" s="1272"/>
      <c r="C279" s="1261"/>
      <c r="D279" s="1261"/>
      <c r="E279" s="1261"/>
      <c r="F279" s="1262"/>
      <c r="G279" s="1266"/>
      <c r="H279" s="1266"/>
      <c r="I279" s="1266"/>
      <c r="J279" s="1372"/>
      <c r="K279" s="1266"/>
      <c r="L279" s="1451"/>
      <c r="M279" s="1453"/>
      <c r="N279" s="1370" t="str">
        <f>IF('別紙様式2-2（４・５月分）'!Q213="","",'別紙様式2-2（４・５月分）'!Q213)</f>
        <v/>
      </c>
      <c r="O279" s="1367"/>
      <c r="P279" s="1383"/>
      <c r="Q279" s="1384"/>
      <c r="R279" s="1385"/>
      <c r="S279" s="1393"/>
      <c r="T279" s="1414"/>
      <c r="U279" s="1563"/>
      <c r="V279" s="1458"/>
      <c r="W279" s="1351"/>
      <c r="X279" s="1535"/>
      <c r="Y279" s="1355"/>
      <c r="Z279" s="1535"/>
      <c r="AA279" s="1355"/>
      <c r="AB279" s="1535"/>
      <c r="AC279" s="1355"/>
      <c r="AD279" s="1535"/>
      <c r="AE279" s="1355"/>
      <c r="AF279" s="1355"/>
      <c r="AG279" s="1355"/>
      <c r="AH279" s="1361"/>
      <c r="AI279" s="1482"/>
      <c r="AJ279" s="1543"/>
      <c r="AK279" s="1539"/>
      <c r="AL279" s="1541"/>
      <c r="AM279" s="1572"/>
      <c r="AN279" s="1574"/>
      <c r="AO279" s="1404"/>
      <c r="AP279" s="1533"/>
      <c r="AQ279" s="1404"/>
      <c r="AR279" s="1584"/>
      <c r="AS279" s="1537"/>
      <c r="AT279" s="1532" t="str">
        <f t="shared" ref="AT279" si="323">IF(AV280="","",IF(OR(AB280="",AB280&lt;&gt;7,AD280="",AD280&lt;&gt;3),"！算定期間の終わりが令和７年３月になっていません。年度内の廃止予定等がなければ、算定対象月を令和７年３月にしてください。",""))</f>
        <v/>
      </c>
      <c r="AU279" s="674"/>
      <c r="AV279" s="1493"/>
      <c r="AW279" s="1518" t="str">
        <f>IF('別紙様式2-2（４・５月分）'!O213="","",'別紙様式2-2（４・５月分）'!O213)</f>
        <v/>
      </c>
      <c r="AX279" s="1507"/>
      <c r="AY279" s="1589"/>
      <c r="AZ279" s="521"/>
      <c r="BE279" s="428"/>
      <c r="BF279" s="1493" t="str">
        <f>G278</f>
        <v/>
      </c>
      <c r="BG279" s="1493"/>
      <c r="BH279" s="1493"/>
    </row>
    <row r="280" spans="1:60" ht="15" customHeight="1">
      <c r="A280" s="1240"/>
      <c r="B280" s="1272"/>
      <c r="C280" s="1261"/>
      <c r="D280" s="1261"/>
      <c r="E280" s="1261"/>
      <c r="F280" s="1262"/>
      <c r="G280" s="1266"/>
      <c r="H280" s="1266"/>
      <c r="I280" s="1266"/>
      <c r="J280" s="1372"/>
      <c r="K280" s="1266"/>
      <c r="L280" s="1451"/>
      <c r="M280" s="1453"/>
      <c r="N280" s="1371"/>
      <c r="O280" s="1368"/>
      <c r="P280" s="1390" t="s">
        <v>2179</v>
      </c>
      <c r="Q280" s="1504" t="str">
        <f>IFERROR(VLOOKUP('別紙様式2-2（４・５月分）'!AR212,【参考】数式用!$AT$5:$AV$22,3,FALSE),"")</f>
        <v/>
      </c>
      <c r="R280" s="1388" t="s">
        <v>2190</v>
      </c>
      <c r="S280" s="1394" t="str">
        <f>IFERROR(VLOOKUP(K278,【参考】数式用!$A$5:$AB$27,MATCH(Q280,【参考】数式用!$B$4:$AB$4,0)+1,0),"")</f>
        <v/>
      </c>
      <c r="T280" s="1459" t="s">
        <v>2267</v>
      </c>
      <c r="U280" s="1569"/>
      <c r="V280" s="1463" t="str">
        <f>IFERROR(VLOOKUP(K278,【参考】数式用!$A$5:$AB$27,MATCH(U280,【参考】数式用!$B$4:$AB$4,0)+1,0),"")</f>
        <v/>
      </c>
      <c r="W280" s="1465" t="s">
        <v>19</v>
      </c>
      <c r="X280" s="1564"/>
      <c r="Y280" s="1407" t="s">
        <v>10</v>
      </c>
      <c r="Z280" s="1564"/>
      <c r="AA280" s="1407" t="s">
        <v>45</v>
      </c>
      <c r="AB280" s="1564"/>
      <c r="AC280" s="1407" t="s">
        <v>10</v>
      </c>
      <c r="AD280" s="1564"/>
      <c r="AE280" s="1407" t="s">
        <v>2172</v>
      </c>
      <c r="AF280" s="1407" t="s">
        <v>24</v>
      </c>
      <c r="AG280" s="1407" t="str">
        <f>IF(X280&gt;=1,(AB280*12+AD280)-(X280*12+Z280)+1,"")</f>
        <v/>
      </c>
      <c r="AH280" s="1409" t="s">
        <v>38</v>
      </c>
      <c r="AI280" s="1411" t="str">
        <f t="shared" ref="AI280" si="324">IFERROR(ROUNDDOWN(ROUND(L278*V280,0)*M278,0)*AG280,"")</f>
        <v/>
      </c>
      <c r="AJ280" s="1577" t="str">
        <f>IFERROR(ROUNDDOWN(ROUND((L278*(V280-AX278)),0)*M278,0)*AG280,"")</f>
        <v/>
      </c>
      <c r="AK280" s="1494" t="str">
        <f>IFERROR(ROUNDDOWN(ROUNDDOWN(ROUND(L278*VLOOKUP(K278,【参考】数式用!$A$5:$AB$27,MATCH("新加算Ⅳ",【参考】数式用!$B$4:$AB$4,0)+1,0),0)*M278,0)*AG280*0.5,0),"")</f>
        <v/>
      </c>
      <c r="AL280" s="1579"/>
      <c r="AM280" s="1585" t="str">
        <f>IFERROR(IF('別紙様式2-2（４・５月分）'!Q214="ベア加算","", IF(OR(U280="新加算Ⅰ",U280="新加算Ⅱ",U280="新加算Ⅲ",U280="新加算Ⅳ"),ROUNDDOWN(ROUND(L278*VLOOKUP(K278,【参考】数式用!$A$5:$I$27,MATCH("ベア加算",【参考】数式用!$B$4:$I$4,0)+1,0),0)*M278,0)*AG280,"")),"")</f>
        <v/>
      </c>
      <c r="AN280" s="1548"/>
      <c r="AO280" s="1554"/>
      <c r="AP280" s="1552"/>
      <c r="AQ280" s="1554"/>
      <c r="AR280" s="1556"/>
      <c r="AS280" s="1558"/>
      <c r="AT280" s="1532"/>
      <c r="AU280" s="542"/>
      <c r="AV280" s="1493" t="str">
        <f t="shared" ref="AV280" si="325">IF(OR(AB278&lt;&gt;7,AD278&lt;&gt;3),"V列に色付け","")</f>
        <v/>
      </c>
      <c r="AW280" s="1518"/>
      <c r="AX280" s="1507"/>
      <c r="AY280" s="671"/>
      <c r="AZ280" s="1321" t="str">
        <f>IF(AM280&lt;&gt;"",IF(AN280="○","入力済","未入力"),"")</f>
        <v/>
      </c>
      <c r="BA280" s="1321"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321" t="str">
        <f>IF(OR(U280="新加算Ⅴ（７）",U280="新加算Ⅴ（９）",U280="新加算Ⅴ（10）",U280="新加算Ⅴ（12）",U280="新加算Ⅴ（13）",U280="新加算Ⅴ（14）"),IF(OR(AP280="○",AP280="令和６年度中に満たす"),"入力済","未入力"),"")</f>
        <v/>
      </c>
      <c r="BC280" s="1321" t="str">
        <f>IF(OR(U280="新加算Ⅰ",U280="新加算Ⅱ",U280="新加算Ⅲ",U280="新加算Ⅴ（１）",U280="新加算Ⅴ（３）",U280="新加算Ⅴ（８）"),IF(OR(AQ280="○",AQ280="令和６年度中に満たす"),"入力済","未入力"),"")</f>
        <v/>
      </c>
      <c r="BD280" s="1588"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493" t="str">
        <f>IF(OR(U280="新加算Ⅰ",U280="新加算Ⅴ（１）",U280="新加算Ⅴ（２）",U280="新加算Ⅴ（５）",U280="新加算Ⅴ（７）",U280="新加算Ⅴ（10）"),IF(AS280="","未入力","入力済"),"")</f>
        <v/>
      </c>
      <c r="BF280" s="1493" t="str">
        <f>G278</f>
        <v/>
      </c>
      <c r="BG280" s="1493"/>
      <c r="BH280" s="1493"/>
    </row>
    <row r="281" spans="1:60" ht="30" customHeight="1" thickBot="1">
      <c r="A281" s="1227"/>
      <c r="B281" s="1376"/>
      <c r="C281" s="1377"/>
      <c r="D281" s="1377"/>
      <c r="E281" s="1377"/>
      <c r="F281" s="1378"/>
      <c r="G281" s="1267"/>
      <c r="H281" s="1267"/>
      <c r="I281" s="1267"/>
      <c r="J281" s="1373"/>
      <c r="K281" s="1267"/>
      <c r="L281" s="1452"/>
      <c r="M281" s="1454"/>
      <c r="N281" s="650" t="str">
        <f>IF('別紙様式2-2（４・５月分）'!Q214="","",'別紙様式2-2（４・５月分）'!Q214)</f>
        <v/>
      </c>
      <c r="O281" s="1369"/>
      <c r="P281" s="1391"/>
      <c r="Q281" s="1505"/>
      <c r="R281" s="1389"/>
      <c r="S281" s="1395"/>
      <c r="T281" s="1460"/>
      <c r="U281" s="1570"/>
      <c r="V281" s="1464"/>
      <c r="W281" s="1466"/>
      <c r="X281" s="1565"/>
      <c r="Y281" s="1408"/>
      <c r="Z281" s="1565"/>
      <c r="AA281" s="1408"/>
      <c r="AB281" s="1565"/>
      <c r="AC281" s="1408"/>
      <c r="AD281" s="1565"/>
      <c r="AE281" s="1408"/>
      <c r="AF281" s="1408"/>
      <c r="AG281" s="1408"/>
      <c r="AH281" s="1410"/>
      <c r="AI281" s="1412"/>
      <c r="AJ281" s="1578"/>
      <c r="AK281" s="1495"/>
      <c r="AL281" s="1580"/>
      <c r="AM281" s="1586"/>
      <c r="AN281" s="1549"/>
      <c r="AO281" s="1555"/>
      <c r="AP281" s="1553"/>
      <c r="AQ281" s="1555"/>
      <c r="AR281" s="1557"/>
      <c r="AS281" s="1559"/>
      <c r="AT281" s="672" t="str">
        <f t="shared" ref="AT281" si="326">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42"/>
      <c r="AV281" s="1493"/>
      <c r="AW281" s="652" t="str">
        <f>IF('別紙様式2-2（４・５月分）'!O214="","",'別紙様式2-2（４・５月分）'!O214)</f>
        <v/>
      </c>
      <c r="AX281" s="1507"/>
      <c r="AY281" s="673"/>
      <c r="AZ281" s="1321" t="str">
        <f>IF(OR(U281="新加算Ⅰ",U281="新加算Ⅱ",U281="新加算Ⅲ",U281="新加算Ⅳ",U281="新加算Ⅴ（１）",U281="新加算Ⅴ（２）",U281="新加算Ⅴ（３）",U281="新加算ⅠⅤ（４）",U281="新加算Ⅴ（５）",U281="新加算Ⅴ（６）",U281="新加算Ⅴ（８）",U281="新加算Ⅴ（11）"),IF(AJ281="○","","未入力"),"")</f>
        <v/>
      </c>
      <c r="BA281" s="1321" t="str">
        <f>IF(OR(V281="新加算Ⅰ",V281="新加算Ⅱ",V281="新加算Ⅲ",V281="新加算Ⅳ",V281="新加算Ⅴ（１）",V281="新加算Ⅴ（２）",V281="新加算Ⅴ（３）",V281="新加算ⅠⅤ（４）",V281="新加算Ⅴ（５）",V281="新加算Ⅴ（６）",V281="新加算Ⅴ（８）",V281="新加算Ⅴ（11）"),IF(AK281="○","","未入力"),"")</f>
        <v/>
      </c>
      <c r="BB281" s="1321" t="str">
        <f>IF(OR(V281="新加算Ⅴ（７）",V281="新加算Ⅴ（９）",V281="新加算Ⅴ（10）",V281="新加算Ⅴ（12）",V281="新加算Ⅴ（13）",V281="新加算Ⅴ（14）"),IF(AL281="○","","未入力"),"")</f>
        <v/>
      </c>
      <c r="BC281" s="1321" t="str">
        <f>IF(OR(V281="新加算Ⅰ",V281="新加算Ⅱ",V281="新加算Ⅲ",V281="新加算Ⅴ（１）",V281="新加算Ⅴ（３）",V281="新加算Ⅴ（８）"),IF(AM281="○","","未入力"),"")</f>
        <v/>
      </c>
      <c r="BD281" s="1588"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493" t="str">
        <f>IF(AND(U281&lt;&gt;"（参考）令和７年度の移行予定",OR(V281="新加算Ⅰ",V281="新加算Ⅴ（１）",V281="新加算Ⅴ（２）",V281="新加算Ⅴ（５）",V281="新加算Ⅴ（７）",V281="新加算Ⅴ（10）")),IF(AO281="","未入力",IF(AO281="いずれも取得していない","要件を満たさない","")),"")</f>
        <v/>
      </c>
      <c r="BF281" s="1493" t="str">
        <f>G278</f>
        <v/>
      </c>
      <c r="BG281" s="1493"/>
      <c r="BH281" s="1493"/>
    </row>
    <row r="282" spans="1:60" ht="30" customHeight="1">
      <c r="A282" s="1241">
        <v>68</v>
      </c>
      <c r="B282" s="1271" t="str">
        <f>IF(基本情報入力シート!C121="","",基本情報入力シート!C121)</f>
        <v/>
      </c>
      <c r="C282" s="1259"/>
      <c r="D282" s="1259"/>
      <c r="E282" s="1259"/>
      <c r="F282" s="1260"/>
      <c r="G282" s="1265" t="str">
        <f>IF(基本情報入力シート!M121="","",基本情報入力シート!M121)</f>
        <v/>
      </c>
      <c r="H282" s="1265" t="str">
        <f>IF(基本情報入力シート!R121="","",基本情報入力シート!R121)</f>
        <v/>
      </c>
      <c r="I282" s="1265" t="str">
        <f>IF(基本情報入力シート!W121="","",基本情報入力シート!W121)</f>
        <v/>
      </c>
      <c r="J282" s="1379" t="str">
        <f>IF(基本情報入力シート!X121="","",基本情報入力シート!X121)</f>
        <v/>
      </c>
      <c r="K282" s="1265" t="str">
        <f>IF(基本情報入力シート!Y121="","",基本情報入力シート!Y121)</f>
        <v/>
      </c>
      <c r="L282" s="1450" t="str">
        <f>IF(基本情報入力シート!AB121="","",基本情報入力シート!AB121)</f>
        <v/>
      </c>
      <c r="M282" s="1447" t="str">
        <f>IF(基本情報入力シート!AC121="","",基本情報入力シート!AC121)</f>
        <v/>
      </c>
      <c r="N282" s="647" t="str">
        <f>IF('別紙様式2-2（４・５月分）'!Q215="","",'別紙様式2-2（４・５月分）'!Q215)</f>
        <v/>
      </c>
      <c r="O282" s="1366" t="str">
        <f>IF(SUM('別紙様式2-2（４・５月分）'!R215:R217)=0,"",SUM('別紙様式2-2（４・５月分）'!R215:R217))</f>
        <v/>
      </c>
      <c r="P282" s="1380" t="str">
        <f>IFERROR(VLOOKUP('別紙様式2-2（４・５月分）'!AR215,【参考】数式用!$AT$5:$AU$22,2,FALSE),"")</f>
        <v/>
      </c>
      <c r="Q282" s="1381"/>
      <c r="R282" s="1382"/>
      <c r="S282" s="1392" t="str">
        <f>IFERROR(VLOOKUP(K282,【参考】数式用!$A$5:$AB$27,MATCH(P282,【参考】数式用!$B$4:$AB$4,0)+1,0),"")</f>
        <v/>
      </c>
      <c r="T282" s="1413" t="s">
        <v>2258</v>
      </c>
      <c r="U282" s="1562" t="str">
        <f>IF('別紙様式2-3（６月以降分）'!U282="","",'別紙様式2-3（６月以降分）'!U282)</f>
        <v/>
      </c>
      <c r="V282" s="1457" t="str">
        <f>IFERROR(VLOOKUP(K282,【参考】数式用!$A$5:$AB$27,MATCH(U282,【参考】数式用!$B$4:$AB$4,0)+1,0),"")</f>
        <v/>
      </c>
      <c r="W282" s="1350" t="s">
        <v>19</v>
      </c>
      <c r="X282" s="1534">
        <f>'別紙様式2-3（６月以降分）'!X282</f>
        <v>6</v>
      </c>
      <c r="Y282" s="1354" t="s">
        <v>10</v>
      </c>
      <c r="Z282" s="1534">
        <f>'別紙様式2-3（６月以降分）'!Z282</f>
        <v>6</v>
      </c>
      <c r="AA282" s="1354" t="s">
        <v>45</v>
      </c>
      <c r="AB282" s="1534">
        <f>'別紙様式2-3（６月以降分）'!AB282</f>
        <v>7</v>
      </c>
      <c r="AC282" s="1354" t="s">
        <v>10</v>
      </c>
      <c r="AD282" s="1534">
        <f>'別紙様式2-3（６月以降分）'!AD282</f>
        <v>3</v>
      </c>
      <c r="AE282" s="1354" t="s">
        <v>2172</v>
      </c>
      <c r="AF282" s="1354" t="s">
        <v>24</v>
      </c>
      <c r="AG282" s="1354">
        <f>IF(X282&gt;=1,(AB282*12+AD282)-(X282*12+Z282)+1,"")</f>
        <v>10</v>
      </c>
      <c r="AH282" s="1360" t="s">
        <v>38</v>
      </c>
      <c r="AI282" s="1481" t="str">
        <f>'別紙様式2-3（６月以降分）'!AI282</f>
        <v/>
      </c>
      <c r="AJ282" s="1542" t="str">
        <f>'別紙様式2-3（６月以降分）'!AJ282</f>
        <v/>
      </c>
      <c r="AK282" s="1538">
        <f>'別紙様式2-3（６月以降分）'!AK282</f>
        <v>0</v>
      </c>
      <c r="AL282" s="1540" t="str">
        <f>IF('別紙様式2-3（６月以降分）'!AL282="","",'別紙様式2-3（６月以降分）'!AL282)</f>
        <v/>
      </c>
      <c r="AM282" s="1571">
        <f>'別紙様式2-3（６月以降分）'!AM282</f>
        <v>0</v>
      </c>
      <c r="AN282" s="1573" t="str">
        <f>IF('別紙様式2-3（６月以降分）'!AN282="","",'別紙様式2-3（６月以降分）'!AN282)</f>
        <v/>
      </c>
      <c r="AO282" s="1403" t="str">
        <f>IF('別紙様式2-3（６月以降分）'!AO282="","",'別紙様式2-3（６月以降分）'!AO282)</f>
        <v/>
      </c>
      <c r="AP282" s="1502" t="str">
        <f>IF('別紙様式2-3（６月以降分）'!AP282="","",'別紙様式2-3（６月以降分）'!AP282)</f>
        <v/>
      </c>
      <c r="AQ282" s="1403" t="str">
        <f>IF('別紙様式2-3（６月以降分）'!AQ282="","",'別紙様式2-3（６月以降分）'!AQ282)</f>
        <v/>
      </c>
      <c r="AR282" s="1583" t="str">
        <f>IF('別紙様式2-3（６月以降分）'!AR282="","",'別紙様式2-3（６月以降分）'!AR282)</f>
        <v/>
      </c>
      <c r="AS282" s="1536" t="str">
        <f>IF('別紙様式2-3（６月以降分）'!AS282="","",'別紙様式2-3（６月以降分）'!AS282)</f>
        <v/>
      </c>
      <c r="AT282" s="667" t="str">
        <f t="shared" ref="AT282" si="327">IF(AV284="","",IF(V284&lt;V282,"！加算の要件上は問題ありませんが、令和６年度当初の新加算の加算率と比較して、移行後の加算率が下がる計画になっています。",""))</f>
        <v/>
      </c>
      <c r="AU282" s="674"/>
      <c r="AV282" s="1233"/>
      <c r="AW282" s="652" t="str">
        <f>IF('別紙様式2-2（４・５月分）'!O215="","",'別紙様式2-2（４・５月分）'!O215)</f>
        <v/>
      </c>
      <c r="AX282" s="1507" t="str">
        <f>IF(SUM('別紙様式2-2（４・５月分）'!P215:P217)=0,"",SUM('別紙様式2-2（４・５月分）'!P215:P217))</f>
        <v/>
      </c>
      <c r="AY282" s="1589" t="str">
        <f>IFERROR(VLOOKUP(K282,【参考】数式用!$AJ$2:$AK$24,2,FALSE),"")</f>
        <v/>
      </c>
      <c r="AZ282" s="584"/>
      <c r="BE282" s="428"/>
      <c r="BF282" s="1493" t="str">
        <f>G282</f>
        <v/>
      </c>
      <c r="BG282" s="1493"/>
      <c r="BH282" s="1493"/>
    </row>
    <row r="283" spans="1:60" ht="15" customHeight="1">
      <c r="A283" s="1226"/>
      <c r="B283" s="1272"/>
      <c r="C283" s="1261"/>
      <c r="D283" s="1261"/>
      <c r="E283" s="1261"/>
      <c r="F283" s="1262"/>
      <c r="G283" s="1266"/>
      <c r="H283" s="1266"/>
      <c r="I283" s="1266"/>
      <c r="J283" s="1372"/>
      <c r="K283" s="1266"/>
      <c r="L283" s="1451"/>
      <c r="M283" s="1448"/>
      <c r="N283" s="1370" t="str">
        <f>IF('別紙様式2-2（４・５月分）'!Q216="","",'別紙様式2-2（４・５月分）'!Q216)</f>
        <v/>
      </c>
      <c r="O283" s="1367"/>
      <c r="P283" s="1383"/>
      <c r="Q283" s="1384"/>
      <c r="R283" s="1385"/>
      <c r="S283" s="1393"/>
      <c r="T283" s="1414"/>
      <c r="U283" s="1563"/>
      <c r="V283" s="1458"/>
      <c r="W283" s="1351"/>
      <c r="X283" s="1535"/>
      <c r="Y283" s="1355"/>
      <c r="Z283" s="1535"/>
      <c r="AA283" s="1355"/>
      <c r="AB283" s="1535"/>
      <c r="AC283" s="1355"/>
      <c r="AD283" s="1535"/>
      <c r="AE283" s="1355"/>
      <c r="AF283" s="1355"/>
      <c r="AG283" s="1355"/>
      <c r="AH283" s="1361"/>
      <c r="AI283" s="1482"/>
      <c r="AJ283" s="1543"/>
      <c r="AK283" s="1539"/>
      <c r="AL283" s="1541"/>
      <c r="AM283" s="1572"/>
      <c r="AN283" s="1574"/>
      <c r="AO283" s="1404"/>
      <c r="AP283" s="1533"/>
      <c r="AQ283" s="1404"/>
      <c r="AR283" s="1584"/>
      <c r="AS283" s="1537"/>
      <c r="AT283" s="1532" t="str">
        <f t="shared" ref="AT283" si="328">IF(AV284="","",IF(OR(AB284="",AB284&lt;&gt;7,AD284="",AD284&lt;&gt;3),"！算定期間の終わりが令和７年３月になっていません。年度内の廃止予定等がなければ、算定対象月を令和７年３月にしてください。",""))</f>
        <v/>
      </c>
      <c r="AU283" s="674"/>
      <c r="AV283" s="1493"/>
      <c r="AW283" s="1518" t="str">
        <f>IF('別紙様式2-2（４・５月分）'!O216="","",'別紙様式2-2（４・５月分）'!O216)</f>
        <v/>
      </c>
      <c r="AX283" s="1507"/>
      <c r="AY283" s="1589"/>
      <c r="AZ283" s="521"/>
      <c r="BE283" s="428"/>
      <c r="BF283" s="1493" t="str">
        <f>G282</f>
        <v/>
      </c>
      <c r="BG283" s="1493"/>
      <c r="BH283" s="1493"/>
    </row>
    <row r="284" spans="1:60" ht="15" customHeight="1">
      <c r="A284" s="1240"/>
      <c r="B284" s="1272"/>
      <c r="C284" s="1261"/>
      <c r="D284" s="1261"/>
      <c r="E284" s="1261"/>
      <c r="F284" s="1262"/>
      <c r="G284" s="1266"/>
      <c r="H284" s="1266"/>
      <c r="I284" s="1266"/>
      <c r="J284" s="1372"/>
      <c r="K284" s="1266"/>
      <c r="L284" s="1451"/>
      <c r="M284" s="1448"/>
      <c r="N284" s="1371"/>
      <c r="O284" s="1368"/>
      <c r="P284" s="1390" t="s">
        <v>2179</v>
      </c>
      <c r="Q284" s="1504" t="str">
        <f>IFERROR(VLOOKUP('別紙様式2-2（４・５月分）'!AR215,【参考】数式用!$AT$5:$AV$22,3,FALSE),"")</f>
        <v/>
      </c>
      <c r="R284" s="1388" t="s">
        <v>2190</v>
      </c>
      <c r="S284" s="1396" t="str">
        <f>IFERROR(VLOOKUP(K282,【参考】数式用!$A$5:$AB$27,MATCH(Q284,【参考】数式用!$B$4:$AB$4,0)+1,0),"")</f>
        <v/>
      </c>
      <c r="T284" s="1459" t="s">
        <v>2267</v>
      </c>
      <c r="U284" s="1569"/>
      <c r="V284" s="1463" t="str">
        <f>IFERROR(VLOOKUP(K282,【参考】数式用!$A$5:$AB$27,MATCH(U284,【参考】数式用!$B$4:$AB$4,0)+1,0),"")</f>
        <v/>
      </c>
      <c r="W284" s="1465" t="s">
        <v>19</v>
      </c>
      <c r="X284" s="1564"/>
      <c r="Y284" s="1407" t="s">
        <v>10</v>
      </c>
      <c r="Z284" s="1564"/>
      <c r="AA284" s="1407" t="s">
        <v>45</v>
      </c>
      <c r="AB284" s="1564"/>
      <c r="AC284" s="1407" t="s">
        <v>10</v>
      </c>
      <c r="AD284" s="1564"/>
      <c r="AE284" s="1407" t="s">
        <v>2172</v>
      </c>
      <c r="AF284" s="1407" t="s">
        <v>24</v>
      </c>
      <c r="AG284" s="1407" t="str">
        <f>IF(X284&gt;=1,(AB284*12+AD284)-(X284*12+Z284)+1,"")</f>
        <v/>
      </c>
      <c r="AH284" s="1409" t="s">
        <v>38</v>
      </c>
      <c r="AI284" s="1411" t="str">
        <f t="shared" ref="AI284" si="329">IFERROR(ROUNDDOWN(ROUND(L282*V284,0)*M282,0)*AG284,"")</f>
        <v/>
      </c>
      <c r="AJ284" s="1577" t="str">
        <f>IFERROR(ROUNDDOWN(ROUND((L282*(V284-AX282)),0)*M282,0)*AG284,"")</f>
        <v/>
      </c>
      <c r="AK284" s="1494" t="str">
        <f>IFERROR(ROUNDDOWN(ROUNDDOWN(ROUND(L282*VLOOKUP(K282,【参考】数式用!$A$5:$AB$27,MATCH("新加算Ⅳ",【参考】数式用!$B$4:$AB$4,0)+1,0),0)*M282,0)*AG284*0.5,0),"")</f>
        <v/>
      </c>
      <c r="AL284" s="1579"/>
      <c r="AM284" s="1585" t="str">
        <f>IFERROR(IF('別紙様式2-2（４・５月分）'!Q217="ベア加算","", IF(OR(U284="新加算Ⅰ",U284="新加算Ⅱ",U284="新加算Ⅲ",U284="新加算Ⅳ"),ROUNDDOWN(ROUND(L282*VLOOKUP(K282,【参考】数式用!$A$5:$I$27,MATCH("ベア加算",【参考】数式用!$B$4:$I$4,0)+1,0),0)*M282,0)*AG284,"")),"")</f>
        <v/>
      </c>
      <c r="AN284" s="1548"/>
      <c r="AO284" s="1554"/>
      <c r="AP284" s="1552"/>
      <c r="AQ284" s="1554"/>
      <c r="AR284" s="1556"/>
      <c r="AS284" s="1558"/>
      <c r="AT284" s="1532"/>
      <c r="AU284" s="542"/>
      <c r="AV284" s="1493" t="str">
        <f t="shared" ref="AV284" si="330">IF(OR(AB282&lt;&gt;7,AD282&lt;&gt;3),"V列に色付け","")</f>
        <v/>
      </c>
      <c r="AW284" s="1518"/>
      <c r="AX284" s="1507"/>
      <c r="AY284" s="671"/>
      <c r="AZ284" s="1321" t="str">
        <f>IF(AM284&lt;&gt;"",IF(AN284="○","入力済","未入力"),"")</f>
        <v/>
      </c>
      <c r="BA284" s="1321"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321" t="str">
        <f>IF(OR(U284="新加算Ⅴ（７）",U284="新加算Ⅴ（９）",U284="新加算Ⅴ（10）",U284="新加算Ⅴ（12）",U284="新加算Ⅴ（13）",U284="新加算Ⅴ（14）"),IF(OR(AP284="○",AP284="令和６年度中に満たす"),"入力済","未入力"),"")</f>
        <v/>
      </c>
      <c r="BC284" s="1321" t="str">
        <f>IF(OR(U284="新加算Ⅰ",U284="新加算Ⅱ",U284="新加算Ⅲ",U284="新加算Ⅴ（１）",U284="新加算Ⅴ（３）",U284="新加算Ⅴ（８）"),IF(OR(AQ284="○",AQ284="令和６年度中に満たす"),"入力済","未入力"),"")</f>
        <v/>
      </c>
      <c r="BD284" s="1588"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493" t="str">
        <f>IF(OR(U284="新加算Ⅰ",U284="新加算Ⅴ（１）",U284="新加算Ⅴ（２）",U284="新加算Ⅴ（５）",U284="新加算Ⅴ（７）",U284="新加算Ⅴ（10）"),IF(AS284="","未入力","入力済"),"")</f>
        <v/>
      </c>
      <c r="BF284" s="1493" t="str">
        <f>G282</f>
        <v/>
      </c>
      <c r="BG284" s="1493"/>
      <c r="BH284" s="1493"/>
    </row>
    <row r="285" spans="1:60" ht="30" customHeight="1" thickBot="1">
      <c r="A285" s="1227"/>
      <c r="B285" s="1376"/>
      <c r="C285" s="1377"/>
      <c r="D285" s="1377"/>
      <c r="E285" s="1377"/>
      <c r="F285" s="1378"/>
      <c r="G285" s="1267"/>
      <c r="H285" s="1267"/>
      <c r="I285" s="1267"/>
      <c r="J285" s="1373"/>
      <c r="K285" s="1267"/>
      <c r="L285" s="1452"/>
      <c r="M285" s="1449"/>
      <c r="N285" s="650" t="str">
        <f>IF('別紙様式2-2（４・５月分）'!Q217="","",'別紙様式2-2（４・５月分）'!Q217)</f>
        <v/>
      </c>
      <c r="O285" s="1369"/>
      <c r="P285" s="1391"/>
      <c r="Q285" s="1505"/>
      <c r="R285" s="1389"/>
      <c r="S285" s="1395"/>
      <c r="T285" s="1460"/>
      <c r="U285" s="1570"/>
      <c r="V285" s="1464"/>
      <c r="W285" s="1466"/>
      <c r="X285" s="1565"/>
      <c r="Y285" s="1408"/>
      <c r="Z285" s="1565"/>
      <c r="AA285" s="1408"/>
      <c r="AB285" s="1565"/>
      <c r="AC285" s="1408"/>
      <c r="AD285" s="1565"/>
      <c r="AE285" s="1408"/>
      <c r="AF285" s="1408"/>
      <c r="AG285" s="1408"/>
      <c r="AH285" s="1410"/>
      <c r="AI285" s="1412"/>
      <c r="AJ285" s="1578"/>
      <c r="AK285" s="1495"/>
      <c r="AL285" s="1580"/>
      <c r="AM285" s="1586"/>
      <c r="AN285" s="1549"/>
      <c r="AO285" s="1555"/>
      <c r="AP285" s="1553"/>
      <c r="AQ285" s="1555"/>
      <c r="AR285" s="1557"/>
      <c r="AS285" s="1559"/>
      <c r="AT285" s="672" t="str">
        <f t="shared" ref="AT285" si="331">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42"/>
      <c r="AV285" s="1493"/>
      <c r="AW285" s="652" t="str">
        <f>IF('別紙様式2-2（４・５月分）'!O217="","",'別紙様式2-2（４・５月分）'!O217)</f>
        <v/>
      </c>
      <c r="AX285" s="1507"/>
      <c r="AY285" s="673"/>
      <c r="AZ285" s="1321" t="str">
        <f>IF(OR(U285="新加算Ⅰ",U285="新加算Ⅱ",U285="新加算Ⅲ",U285="新加算Ⅳ",U285="新加算Ⅴ（１）",U285="新加算Ⅴ（２）",U285="新加算Ⅴ（３）",U285="新加算ⅠⅤ（４）",U285="新加算Ⅴ（５）",U285="新加算Ⅴ（６）",U285="新加算Ⅴ（８）",U285="新加算Ⅴ（11）"),IF(AJ285="○","","未入力"),"")</f>
        <v/>
      </c>
      <c r="BA285" s="1321" t="str">
        <f>IF(OR(V285="新加算Ⅰ",V285="新加算Ⅱ",V285="新加算Ⅲ",V285="新加算Ⅳ",V285="新加算Ⅴ（１）",V285="新加算Ⅴ（２）",V285="新加算Ⅴ（３）",V285="新加算ⅠⅤ（４）",V285="新加算Ⅴ（５）",V285="新加算Ⅴ（６）",V285="新加算Ⅴ（８）",V285="新加算Ⅴ（11）"),IF(AK285="○","","未入力"),"")</f>
        <v/>
      </c>
      <c r="BB285" s="1321" t="str">
        <f>IF(OR(V285="新加算Ⅴ（７）",V285="新加算Ⅴ（９）",V285="新加算Ⅴ（10）",V285="新加算Ⅴ（12）",V285="新加算Ⅴ（13）",V285="新加算Ⅴ（14）"),IF(AL285="○","","未入力"),"")</f>
        <v/>
      </c>
      <c r="BC285" s="1321" t="str">
        <f>IF(OR(V285="新加算Ⅰ",V285="新加算Ⅱ",V285="新加算Ⅲ",V285="新加算Ⅴ（１）",V285="新加算Ⅴ（３）",V285="新加算Ⅴ（８）"),IF(AM285="○","","未入力"),"")</f>
        <v/>
      </c>
      <c r="BD285" s="1588"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493" t="str">
        <f>IF(AND(U285&lt;&gt;"（参考）令和７年度の移行予定",OR(V285="新加算Ⅰ",V285="新加算Ⅴ（１）",V285="新加算Ⅴ（２）",V285="新加算Ⅴ（５）",V285="新加算Ⅴ（７）",V285="新加算Ⅴ（10）")),IF(AO285="","未入力",IF(AO285="いずれも取得していない","要件を満たさない","")),"")</f>
        <v/>
      </c>
      <c r="BF285" s="1493" t="str">
        <f>G282</f>
        <v/>
      </c>
      <c r="BG285" s="1493"/>
      <c r="BH285" s="1493"/>
    </row>
    <row r="286" spans="1:60" ht="30" customHeight="1">
      <c r="A286" s="1225">
        <v>69</v>
      </c>
      <c r="B286" s="1272" t="str">
        <f>IF(基本情報入力シート!C122="","",基本情報入力シート!C122)</f>
        <v/>
      </c>
      <c r="C286" s="1261"/>
      <c r="D286" s="1261"/>
      <c r="E286" s="1261"/>
      <c r="F286" s="1262"/>
      <c r="G286" s="1266" t="str">
        <f>IF(基本情報入力シート!M122="","",基本情報入力シート!M122)</f>
        <v/>
      </c>
      <c r="H286" s="1266" t="str">
        <f>IF(基本情報入力シート!R122="","",基本情報入力シート!R122)</f>
        <v/>
      </c>
      <c r="I286" s="1266" t="str">
        <f>IF(基本情報入力シート!W122="","",基本情報入力シート!W122)</f>
        <v/>
      </c>
      <c r="J286" s="1372" t="str">
        <f>IF(基本情報入力シート!X122="","",基本情報入力シート!X122)</f>
        <v/>
      </c>
      <c r="K286" s="1266" t="str">
        <f>IF(基本情報入力シート!Y122="","",基本情報入力シート!Y122)</f>
        <v/>
      </c>
      <c r="L286" s="1451" t="str">
        <f>IF(基本情報入力シート!AB122="","",基本情報入力シート!AB122)</f>
        <v/>
      </c>
      <c r="M286" s="1453" t="str">
        <f>IF(基本情報入力シート!AC122="","",基本情報入力シート!AC122)</f>
        <v/>
      </c>
      <c r="N286" s="647" t="str">
        <f>IF('別紙様式2-2（４・５月分）'!Q218="","",'別紙様式2-2（４・５月分）'!Q218)</f>
        <v/>
      </c>
      <c r="O286" s="1366" t="str">
        <f>IF(SUM('別紙様式2-2（４・５月分）'!R218:R220)=0,"",SUM('別紙様式2-2（４・５月分）'!R218:R220))</f>
        <v/>
      </c>
      <c r="P286" s="1380" t="str">
        <f>IFERROR(VLOOKUP('別紙様式2-2（４・５月分）'!AR218,【参考】数式用!$AT$5:$AU$22,2,FALSE),"")</f>
        <v/>
      </c>
      <c r="Q286" s="1381"/>
      <c r="R286" s="1382"/>
      <c r="S286" s="1392" t="str">
        <f>IFERROR(VLOOKUP(K286,【参考】数式用!$A$5:$AB$27,MATCH(P286,【参考】数式用!$B$4:$AB$4,0)+1,0),"")</f>
        <v/>
      </c>
      <c r="T286" s="1413" t="s">
        <v>2258</v>
      </c>
      <c r="U286" s="1562" t="str">
        <f>IF('別紙様式2-3（６月以降分）'!U286="","",'別紙様式2-3（６月以降分）'!U286)</f>
        <v/>
      </c>
      <c r="V286" s="1457" t="str">
        <f>IFERROR(VLOOKUP(K286,【参考】数式用!$A$5:$AB$27,MATCH(U286,【参考】数式用!$B$4:$AB$4,0)+1,0),"")</f>
        <v/>
      </c>
      <c r="W286" s="1350" t="s">
        <v>19</v>
      </c>
      <c r="X286" s="1534">
        <f>'別紙様式2-3（６月以降分）'!X286</f>
        <v>6</v>
      </c>
      <c r="Y286" s="1354" t="s">
        <v>10</v>
      </c>
      <c r="Z286" s="1534">
        <f>'別紙様式2-3（６月以降分）'!Z286</f>
        <v>6</v>
      </c>
      <c r="AA286" s="1354" t="s">
        <v>45</v>
      </c>
      <c r="AB286" s="1534">
        <f>'別紙様式2-3（６月以降分）'!AB286</f>
        <v>7</v>
      </c>
      <c r="AC286" s="1354" t="s">
        <v>10</v>
      </c>
      <c r="AD286" s="1534">
        <f>'別紙様式2-3（６月以降分）'!AD286</f>
        <v>3</v>
      </c>
      <c r="AE286" s="1354" t="s">
        <v>2172</v>
      </c>
      <c r="AF286" s="1354" t="s">
        <v>24</v>
      </c>
      <c r="AG286" s="1354">
        <f>IF(X286&gt;=1,(AB286*12+AD286)-(X286*12+Z286)+1,"")</f>
        <v>10</v>
      </c>
      <c r="AH286" s="1360" t="s">
        <v>38</v>
      </c>
      <c r="AI286" s="1481" t="str">
        <f>'別紙様式2-3（６月以降分）'!AI286</f>
        <v/>
      </c>
      <c r="AJ286" s="1542" t="str">
        <f>'別紙様式2-3（６月以降分）'!AJ286</f>
        <v/>
      </c>
      <c r="AK286" s="1538">
        <f>'別紙様式2-3（６月以降分）'!AK286</f>
        <v>0</v>
      </c>
      <c r="AL286" s="1540" t="str">
        <f>IF('別紙様式2-3（６月以降分）'!AL286="","",'別紙様式2-3（６月以降分）'!AL286)</f>
        <v/>
      </c>
      <c r="AM286" s="1571">
        <f>'別紙様式2-3（６月以降分）'!AM286</f>
        <v>0</v>
      </c>
      <c r="AN286" s="1573" t="str">
        <f>IF('別紙様式2-3（６月以降分）'!AN286="","",'別紙様式2-3（６月以降分）'!AN286)</f>
        <v/>
      </c>
      <c r="AO286" s="1403" t="str">
        <f>IF('別紙様式2-3（６月以降分）'!AO286="","",'別紙様式2-3（６月以降分）'!AO286)</f>
        <v/>
      </c>
      <c r="AP286" s="1502" t="str">
        <f>IF('別紙様式2-3（６月以降分）'!AP286="","",'別紙様式2-3（６月以降分）'!AP286)</f>
        <v/>
      </c>
      <c r="AQ286" s="1403" t="str">
        <f>IF('別紙様式2-3（６月以降分）'!AQ286="","",'別紙様式2-3（６月以降分）'!AQ286)</f>
        <v/>
      </c>
      <c r="AR286" s="1583" t="str">
        <f>IF('別紙様式2-3（６月以降分）'!AR286="","",'別紙様式2-3（６月以降分）'!AR286)</f>
        <v/>
      </c>
      <c r="AS286" s="1536" t="str">
        <f>IF('別紙様式2-3（６月以降分）'!AS286="","",'別紙様式2-3（６月以降分）'!AS286)</f>
        <v/>
      </c>
      <c r="AT286" s="667" t="str">
        <f t="shared" ref="AT286" si="332">IF(AV288="","",IF(V288&lt;V286,"！加算の要件上は問題ありませんが、令和６年度当初の新加算の加算率と比較して、移行後の加算率が下がる計画になっています。",""))</f>
        <v/>
      </c>
      <c r="AU286" s="674"/>
      <c r="AV286" s="1233"/>
      <c r="AW286" s="652" t="str">
        <f>IF('別紙様式2-2（４・５月分）'!O218="","",'別紙様式2-2（４・５月分）'!O218)</f>
        <v/>
      </c>
      <c r="AX286" s="1507" t="str">
        <f>IF(SUM('別紙様式2-2（４・５月分）'!P218:P220)=0,"",SUM('別紙様式2-2（４・５月分）'!P218:P220))</f>
        <v/>
      </c>
      <c r="AY286" s="1590" t="str">
        <f>IFERROR(VLOOKUP(K286,【参考】数式用!$AJ$2:$AK$24,2,FALSE),"")</f>
        <v/>
      </c>
      <c r="AZ286" s="584"/>
      <c r="BE286" s="428"/>
      <c r="BF286" s="1493" t="str">
        <f>G286</f>
        <v/>
      </c>
      <c r="BG286" s="1493"/>
      <c r="BH286" s="1493"/>
    </row>
    <row r="287" spans="1:60" ht="15" customHeight="1">
      <c r="A287" s="1226"/>
      <c r="B287" s="1272"/>
      <c r="C287" s="1261"/>
      <c r="D287" s="1261"/>
      <c r="E287" s="1261"/>
      <c r="F287" s="1262"/>
      <c r="G287" s="1266"/>
      <c r="H287" s="1266"/>
      <c r="I287" s="1266"/>
      <c r="J287" s="1372"/>
      <c r="K287" s="1266"/>
      <c r="L287" s="1451"/>
      <c r="M287" s="1453"/>
      <c r="N287" s="1370" t="str">
        <f>IF('別紙様式2-2（４・５月分）'!Q219="","",'別紙様式2-2（４・５月分）'!Q219)</f>
        <v/>
      </c>
      <c r="O287" s="1367"/>
      <c r="P287" s="1383"/>
      <c r="Q287" s="1384"/>
      <c r="R287" s="1385"/>
      <c r="S287" s="1393"/>
      <c r="T287" s="1414"/>
      <c r="U287" s="1563"/>
      <c r="V287" s="1458"/>
      <c r="W287" s="1351"/>
      <c r="X287" s="1535"/>
      <c r="Y287" s="1355"/>
      <c r="Z287" s="1535"/>
      <c r="AA287" s="1355"/>
      <c r="AB287" s="1535"/>
      <c r="AC287" s="1355"/>
      <c r="AD287" s="1535"/>
      <c r="AE287" s="1355"/>
      <c r="AF287" s="1355"/>
      <c r="AG287" s="1355"/>
      <c r="AH287" s="1361"/>
      <c r="AI287" s="1482"/>
      <c r="AJ287" s="1543"/>
      <c r="AK287" s="1539"/>
      <c r="AL287" s="1541"/>
      <c r="AM287" s="1572"/>
      <c r="AN287" s="1574"/>
      <c r="AO287" s="1404"/>
      <c r="AP287" s="1533"/>
      <c r="AQ287" s="1404"/>
      <c r="AR287" s="1584"/>
      <c r="AS287" s="1537"/>
      <c r="AT287" s="1532" t="str">
        <f t="shared" ref="AT287" si="333">IF(AV288="","",IF(OR(AB288="",AB288&lt;&gt;7,AD288="",AD288&lt;&gt;3),"！算定期間の終わりが令和７年３月になっていません。年度内の廃止予定等がなければ、算定対象月を令和７年３月にしてください。",""))</f>
        <v/>
      </c>
      <c r="AU287" s="674"/>
      <c r="AV287" s="1493"/>
      <c r="AW287" s="1518" t="str">
        <f>IF('別紙様式2-2（４・５月分）'!O219="","",'別紙様式2-2（４・５月分）'!O219)</f>
        <v/>
      </c>
      <c r="AX287" s="1507"/>
      <c r="AY287" s="1589"/>
      <c r="AZ287" s="521"/>
      <c r="BE287" s="428"/>
      <c r="BF287" s="1493" t="str">
        <f>G286</f>
        <v/>
      </c>
      <c r="BG287" s="1493"/>
      <c r="BH287" s="1493"/>
    </row>
    <row r="288" spans="1:60" ht="15" customHeight="1">
      <c r="A288" s="1240"/>
      <c r="B288" s="1272"/>
      <c r="C288" s="1261"/>
      <c r="D288" s="1261"/>
      <c r="E288" s="1261"/>
      <c r="F288" s="1262"/>
      <c r="G288" s="1266"/>
      <c r="H288" s="1266"/>
      <c r="I288" s="1266"/>
      <c r="J288" s="1372"/>
      <c r="K288" s="1266"/>
      <c r="L288" s="1451"/>
      <c r="M288" s="1453"/>
      <c r="N288" s="1371"/>
      <c r="O288" s="1368"/>
      <c r="P288" s="1390" t="s">
        <v>2179</v>
      </c>
      <c r="Q288" s="1504" t="str">
        <f>IFERROR(VLOOKUP('別紙様式2-2（４・５月分）'!AR218,【参考】数式用!$AT$5:$AV$22,3,FALSE),"")</f>
        <v/>
      </c>
      <c r="R288" s="1388" t="s">
        <v>2190</v>
      </c>
      <c r="S288" s="1394" t="str">
        <f>IFERROR(VLOOKUP(K286,【参考】数式用!$A$5:$AB$27,MATCH(Q288,【参考】数式用!$B$4:$AB$4,0)+1,0),"")</f>
        <v/>
      </c>
      <c r="T288" s="1459" t="s">
        <v>2267</v>
      </c>
      <c r="U288" s="1569"/>
      <c r="V288" s="1463" t="str">
        <f>IFERROR(VLOOKUP(K286,【参考】数式用!$A$5:$AB$27,MATCH(U288,【参考】数式用!$B$4:$AB$4,0)+1,0),"")</f>
        <v/>
      </c>
      <c r="W288" s="1465" t="s">
        <v>19</v>
      </c>
      <c r="X288" s="1564"/>
      <c r="Y288" s="1407" t="s">
        <v>10</v>
      </c>
      <c r="Z288" s="1564"/>
      <c r="AA288" s="1407" t="s">
        <v>45</v>
      </c>
      <c r="AB288" s="1564"/>
      <c r="AC288" s="1407" t="s">
        <v>10</v>
      </c>
      <c r="AD288" s="1564"/>
      <c r="AE288" s="1407" t="s">
        <v>2172</v>
      </c>
      <c r="AF288" s="1407" t="s">
        <v>24</v>
      </c>
      <c r="AG288" s="1407" t="str">
        <f>IF(X288&gt;=1,(AB288*12+AD288)-(X288*12+Z288)+1,"")</f>
        <v/>
      </c>
      <c r="AH288" s="1409" t="s">
        <v>38</v>
      </c>
      <c r="AI288" s="1411" t="str">
        <f t="shared" ref="AI288" si="334">IFERROR(ROUNDDOWN(ROUND(L286*V288,0)*M286,0)*AG288,"")</f>
        <v/>
      </c>
      <c r="AJ288" s="1577" t="str">
        <f>IFERROR(ROUNDDOWN(ROUND((L286*(V288-AX286)),0)*M286,0)*AG288,"")</f>
        <v/>
      </c>
      <c r="AK288" s="1494" t="str">
        <f>IFERROR(ROUNDDOWN(ROUNDDOWN(ROUND(L286*VLOOKUP(K286,【参考】数式用!$A$5:$AB$27,MATCH("新加算Ⅳ",【参考】数式用!$B$4:$AB$4,0)+1,0),0)*M286,0)*AG288*0.5,0),"")</f>
        <v/>
      </c>
      <c r="AL288" s="1579"/>
      <c r="AM288" s="1585" t="str">
        <f>IFERROR(IF('別紙様式2-2（４・５月分）'!Q220="ベア加算","", IF(OR(U288="新加算Ⅰ",U288="新加算Ⅱ",U288="新加算Ⅲ",U288="新加算Ⅳ"),ROUNDDOWN(ROUND(L286*VLOOKUP(K286,【参考】数式用!$A$5:$I$27,MATCH("ベア加算",【参考】数式用!$B$4:$I$4,0)+1,0),0)*M286,0)*AG288,"")),"")</f>
        <v/>
      </c>
      <c r="AN288" s="1548"/>
      <c r="AO288" s="1554"/>
      <c r="AP288" s="1552"/>
      <c r="AQ288" s="1554"/>
      <c r="AR288" s="1556"/>
      <c r="AS288" s="1558"/>
      <c r="AT288" s="1532"/>
      <c r="AU288" s="542"/>
      <c r="AV288" s="1493" t="str">
        <f t="shared" ref="AV288" si="335">IF(OR(AB286&lt;&gt;7,AD286&lt;&gt;3),"V列に色付け","")</f>
        <v/>
      </c>
      <c r="AW288" s="1518"/>
      <c r="AX288" s="1507"/>
      <c r="AY288" s="671"/>
      <c r="AZ288" s="1321" t="str">
        <f>IF(AM288&lt;&gt;"",IF(AN288="○","入力済","未入力"),"")</f>
        <v/>
      </c>
      <c r="BA288" s="1321"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321" t="str">
        <f>IF(OR(U288="新加算Ⅴ（７）",U288="新加算Ⅴ（９）",U288="新加算Ⅴ（10）",U288="新加算Ⅴ（12）",U288="新加算Ⅴ（13）",U288="新加算Ⅴ（14）"),IF(OR(AP288="○",AP288="令和６年度中に満たす"),"入力済","未入力"),"")</f>
        <v/>
      </c>
      <c r="BC288" s="1321" t="str">
        <f>IF(OR(U288="新加算Ⅰ",U288="新加算Ⅱ",U288="新加算Ⅲ",U288="新加算Ⅴ（１）",U288="新加算Ⅴ（３）",U288="新加算Ⅴ（８）"),IF(OR(AQ288="○",AQ288="令和６年度中に満たす"),"入力済","未入力"),"")</f>
        <v/>
      </c>
      <c r="BD288" s="1588"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493" t="str">
        <f>IF(OR(U288="新加算Ⅰ",U288="新加算Ⅴ（１）",U288="新加算Ⅴ（２）",U288="新加算Ⅴ（５）",U288="新加算Ⅴ（７）",U288="新加算Ⅴ（10）"),IF(AS288="","未入力","入力済"),"")</f>
        <v/>
      </c>
      <c r="BF288" s="1493" t="str">
        <f>G286</f>
        <v/>
      </c>
      <c r="BG288" s="1493"/>
      <c r="BH288" s="1493"/>
    </row>
    <row r="289" spans="1:60" ht="30" customHeight="1" thickBot="1">
      <c r="A289" s="1227"/>
      <c r="B289" s="1376"/>
      <c r="C289" s="1377"/>
      <c r="D289" s="1377"/>
      <c r="E289" s="1377"/>
      <c r="F289" s="1378"/>
      <c r="G289" s="1267"/>
      <c r="H289" s="1267"/>
      <c r="I289" s="1267"/>
      <c r="J289" s="1373"/>
      <c r="K289" s="1267"/>
      <c r="L289" s="1452"/>
      <c r="M289" s="1454"/>
      <c r="N289" s="650" t="str">
        <f>IF('別紙様式2-2（４・５月分）'!Q220="","",'別紙様式2-2（４・５月分）'!Q220)</f>
        <v/>
      </c>
      <c r="O289" s="1369"/>
      <c r="P289" s="1391"/>
      <c r="Q289" s="1505"/>
      <c r="R289" s="1389"/>
      <c r="S289" s="1395"/>
      <c r="T289" s="1460"/>
      <c r="U289" s="1570"/>
      <c r="V289" s="1464"/>
      <c r="W289" s="1466"/>
      <c r="X289" s="1565"/>
      <c r="Y289" s="1408"/>
      <c r="Z289" s="1565"/>
      <c r="AA289" s="1408"/>
      <c r="AB289" s="1565"/>
      <c r="AC289" s="1408"/>
      <c r="AD289" s="1565"/>
      <c r="AE289" s="1408"/>
      <c r="AF289" s="1408"/>
      <c r="AG289" s="1408"/>
      <c r="AH289" s="1410"/>
      <c r="AI289" s="1412"/>
      <c r="AJ289" s="1578"/>
      <c r="AK289" s="1495"/>
      <c r="AL289" s="1580"/>
      <c r="AM289" s="1586"/>
      <c r="AN289" s="1549"/>
      <c r="AO289" s="1555"/>
      <c r="AP289" s="1553"/>
      <c r="AQ289" s="1555"/>
      <c r="AR289" s="1557"/>
      <c r="AS289" s="1559"/>
      <c r="AT289" s="672" t="str">
        <f t="shared" ref="AT289" si="336">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42"/>
      <c r="AV289" s="1493"/>
      <c r="AW289" s="652" t="str">
        <f>IF('別紙様式2-2（４・５月分）'!O220="","",'別紙様式2-2（４・５月分）'!O220)</f>
        <v/>
      </c>
      <c r="AX289" s="1507"/>
      <c r="AY289" s="673"/>
      <c r="AZ289" s="1321" t="str">
        <f>IF(OR(U289="新加算Ⅰ",U289="新加算Ⅱ",U289="新加算Ⅲ",U289="新加算Ⅳ",U289="新加算Ⅴ（１）",U289="新加算Ⅴ（２）",U289="新加算Ⅴ（３）",U289="新加算ⅠⅤ（４）",U289="新加算Ⅴ（５）",U289="新加算Ⅴ（６）",U289="新加算Ⅴ（８）",U289="新加算Ⅴ（11）"),IF(AJ289="○","","未入力"),"")</f>
        <v/>
      </c>
      <c r="BA289" s="1321" t="str">
        <f>IF(OR(V289="新加算Ⅰ",V289="新加算Ⅱ",V289="新加算Ⅲ",V289="新加算Ⅳ",V289="新加算Ⅴ（１）",V289="新加算Ⅴ（２）",V289="新加算Ⅴ（３）",V289="新加算ⅠⅤ（４）",V289="新加算Ⅴ（５）",V289="新加算Ⅴ（６）",V289="新加算Ⅴ（８）",V289="新加算Ⅴ（11）"),IF(AK289="○","","未入力"),"")</f>
        <v/>
      </c>
      <c r="BB289" s="1321" t="str">
        <f>IF(OR(V289="新加算Ⅴ（７）",V289="新加算Ⅴ（９）",V289="新加算Ⅴ（10）",V289="新加算Ⅴ（12）",V289="新加算Ⅴ（13）",V289="新加算Ⅴ（14）"),IF(AL289="○","","未入力"),"")</f>
        <v/>
      </c>
      <c r="BC289" s="1321" t="str">
        <f>IF(OR(V289="新加算Ⅰ",V289="新加算Ⅱ",V289="新加算Ⅲ",V289="新加算Ⅴ（１）",V289="新加算Ⅴ（３）",V289="新加算Ⅴ（８）"),IF(AM289="○","","未入力"),"")</f>
        <v/>
      </c>
      <c r="BD289" s="1588"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493" t="str">
        <f>IF(AND(U289&lt;&gt;"（参考）令和７年度の移行予定",OR(V289="新加算Ⅰ",V289="新加算Ⅴ（１）",V289="新加算Ⅴ（２）",V289="新加算Ⅴ（５）",V289="新加算Ⅴ（７）",V289="新加算Ⅴ（10）")),IF(AO289="","未入力",IF(AO289="いずれも取得していない","要件を満たさない","")),"")</f>
        <v/>
      </c>
      <c r="BF289" s="1493" t="str">
        <f>G286</f>
        <v/>
      </c>
      <c r="BG289" s="1493"/>
      <c r="BH289" s="1493"/>
    </row>
    <row r="290" spans="1:60" ht="30" customHeight="1">
      <c r="A290" s="1241">
        <v>70</v>
      </c>
      <c r="B290" s="1271" t="str">
        <f>IF(基本情報入力シート!C123="","",基本情報入力シート!C123)</f>
        <v/>
      </c>
      <c r="C290" s="1259"/>
      <c r="D290" s="1259"/>
      <c r="E290" s="1259"/>
      <c r="F290" s="1260"/>
      <c r="G290" s="1265" t="str">
        <f>IF(基本情報入力シート!M123="","",基本情報入力シート!M123)</f>
        <v/>
      </c>
      <c r="H290" s="1265" t="str">
        <f>IF(基本情報入力シート!R123="","",基本情報入力シート!R123)</f>
        <v/>
      </c>
      <c r="I290" s="1265" t="str">
        <f>IF(基本情報入力シート!W123="","",基本情報入力シート!W123)</f>
        <v/>
      </c>
      <c r="J290" s="1379" t="str">
        <f>IF(基本情報入力シート!X123="","",基本情報入力シート!X123)</f>
        <v/>
      </c>
      <c r="K290" s="1265" t="str">
        <f>IF(基本情報入力シート!Y123="","",基本情報入力シート!Y123)</f>
        <v/>
      </c>
      <c r="L290" s="1450" t="str">
        <f>IF(基本情報入力シート!AB123="","",基本情報入力シート!AB123)</f>
        <v/>
      </c>
      <c r="M290" s="1447" t="str">
        <f>IF(基本情報入力シート!AC123="","",基本情報入力シート!AC123)</f>
        <v/>
      </c>
      <c r="N290" s="647" t="str">
        <f>IF('別紙様式2-2（４・５月分）'!Q221="","",'別紙様式2-2（４・５月分）'!Q221)</f>
        <v/>
      </c>
      <c r="O290" s="1366" t="str">
        <f>IF(SUM('別紙様式2-2（４・５月分）'!R221:R223)=0,"",SUM('別紙様式2-2（４・５月分）'!R221:R223))</f>
        <v/>
      </c>
      <c r="P290" s="1380" t="str">
        <f>IFERROR(VLOOKUP('別紙様式2-2（４・５月分）'!AR221,【参考】数式用!$AT$5:$AU$22,2,FALSE),"")</f>
        <v/>
      </c>
      <c r="Q290" s="1381"/>
      <c r="R290" s="1382"/>
      <c r="S290" s="1392" t="str">
        <f>IFERROR(VLOOKUP(K290,【参考】数式用!$A$5:$AB$27,MATCH(P290,【参考】数式用!$B$4:$AB$4,0)+1,0),"")</f>
        <v/>
      </c>
      <c r="T290" s="1413" t="s">
        <v>2258</v>
      </c>
      <c r="U290" s="1562" t="str">
        <f>IF('別紙様式2-3（６月以降分）'!U290="","",'別紙様式2-3（６月以降分）'!U290)</f>
        <v/>
      </c>
      <c r="V290" s="1457" t="str">
        <f>IFERROR(VLOOKUP(K290,【参考】数式用!$A$5:$AB$27,MATCH(U290,【参考】数式用!$B$4:$AB$4,0)+1,0),"")</f>
        <v/>
      </c>
      <c r="W290" s="1350" t="s">
        <v>19</v>
      </c>
      <c r="X290" s="1534">
        <f>'別紙様式2-3（６月以降分）'!X290</f>
        <v>6</v>
      </c>
      <c r="Y290" s="1354" t="s">
        <v>10</v>
      </c>
      <c r="Z290" s="1534">
        <f>'別紙様式2-3（６月以降分）'!Z290</f>
        <v>6</v>
      </c>
      <c r="AA290" s="1354" t="s">
        <v>45</v>
      </c>
      <c r="AB290" s="1534">
        <f>'別紙様式2-3（６月以降分）'!AB290</f>
        <v>7</v>
      </c>
      <c r="AC290" s="1354" t="s">
        <v>10</v>
      </c>
      <c r="AD290" s="1534">
        <f>'別紙様式2-3（６月以降分）'!AD290</f>
        <v>3</v>
      </c>
      <c r="AE290" s="1354" t="s">
        <v>2172</v>
      </c>
      <c r="AF290" s="1354" t="s">
        <v>24</v>
      </c>
      <c r="AG290" s="1354">
        <f>IF(X290&gt;=1,(AB290*12+AD290)-(X290*12+Z290)+1,"")</f>
        <v>10</v>
      </c>
      <c r="AH290" s="1360" t="s">
        <v>38</v>
      </c>
      <c r="AI290" s="1481" t="str">
        <f>'別紙様式2-3（６月以降分）'!AI290</f>
        <v/>
      </c>
      <c r="AJ290" s="1542" t="str">
        <f>'別紙様式2-3（６月以降分）'!AJ290</f>
        <v/>
      </c>
      <c r="AK290" s="1538">
        <f>'別紙様式2-3（６月以降分）'!AK290</f>
        <v>0</v>
      </c>
      <c r="AL290" s="1540" t="str">
        <f>IF('別紙様式2-3（６月以降分）'!AL290="","",'別紙様式2-3（６月以降分）'!AL290)</f>
        <v/>
      </c>
      <c r="AM290" s="1571">
        <f>'別紙様式2-3（６月以降分）'!AM290</f>
        <v>0</v>
      </c>
      <c r="AN290" s="1573" t="str">
        <f>IF('別紙様式2-3（６月以降分）'!AN290="","",'別紙様式2-3（６月以降分）'!AN290)</f>
        <v/>
      </c>
      <c r="AO290" s="1403" t="str">
        <f>IF('別紙様式2-3（６月以降分）'!AO290="","",'別紙様式2-3（６月以降分）'!AO290)</f>
        <v/>
      </c>
      <c r="AP290" s="1502" t="str">
        <f>IF('別紙様式2-3（６月以降分）'!AP290="","",'別紙様式2-3（６月以降分）'!AP290)</f>
        <v/>
      </c>
      <c r="AQ290" s="1403" t="str">
        <f>IF('別紙様式2-3（６月以降分）'!AQ290="","",'別紙様式2-3（６月以降分）'!AQ290)</f>
        <v/>
      </c>
      <c r="AR290" s="1583" t="str">
        <f>IF('別紙様式2-3（６月以降分）'!AR290="","",'別紙様式2-3（６月以降分）'!AR290)</f>
        <v/>
      </c>
      <c r="AS290" s="1536" t="str">
        <f>IF('別紙様式2-3（６月以降分）'!AS290="","",'別紙様式2-3（６月以降分）'!AS290)</f>
        <v/>
      </c>
      <c r="AT290" s="667" t="str">
        <f t="shared" ref="AT290" si="337">IF(AV292="","",IF(V292&lt;V290,"！加算の要件上は問題ありませんが、令和６年度当初の新加算の加算率と比較して、移行後の加算率が下がる計画になっています。",""))</f>
        <v/>
      </c>
      <c r="AU290" s="674"/>
      <c r="AV290" s="1233"/>
      <c r="AW290" s="652" t="str">
        <f>IF('別紙様式2-2（４・５月分）'!O221="","",'別紙様式2-2（４・５月分）'!O221)</f>
        <v/>
      </c>
      <c r="AX290" s="1507" t="str">
        <f>IF(SUM('別紙様式2-2（４・５月分）'!P221:P223)=0,"",SUM('別紙様式2-2（４・５月分）'!P221:P223))</f>
        <v/>
      </c>
      <c r="AY290" s="1589" t="str">
        <f>IFERROR(VLOOKUP(K290,【参考】数式用!$AJ$2:$AK$24,2,FALSE),"")</f>
        <v/>
      </c>
      <c r="AZ290" s="584"/>
      <c r="BE290" s="428"/>
      <c r="BF290" s="1493" t="str">
        <f>G290</f>
        <v/>
      </c>
      <c r="BG290" s="1493"/>
      <c r="BH290" s="1493"/>
    </row>
    <row r="291" spans="1:60" ht="15" customHeight="1">
      <c r="A291" s="1226"/>
      <c r="B291" s="1272"/>
      <c r="C291" s="1261"/>
      <c r="D291" s="1261"/>
      <c r="E291" s="1261"/>
      <c r="F291" s="1262"/>
      <c r="G291" s="1266"/>
      <c r="H291" s="1266"/>
      <c r="I291" s="1266"/>
      <c r="J291" s="1372"/>
      <c r="K291" s="1266"/>
      <c r="L291" s="1451"/>
      <c r="M291" s="1448"/>
      <c r="N291" s="1370" t="str">
        <f>IF('別紙様式2-2（４・５月分）'!Q222="","",'別紙様式2-2（４・５月分）'!Q222)</f>
        <v/>
      </c>
      <c r="O291" s="1367"/>
      <c r="P291" s="1383"/>
      <c r="Q291" s="1384"/>
      <c r="R291" s="1385"/>
      <c r="S291" s="1393"/>
      <c r="T291" s="1414"/>
      <c r="U291" s="1563"/>
      <c r="V291" s="1458"/>
      <c r="W291" s="1351"/>
      <c r="X291" s="1535"/>
      <c r="Y291" s="1355"/>
      <c r="Z291" s="1535"/>
      <c r="AA291" s="1355"/>
      <c r="AB291" s="1535"/>
      <c r="AC291" s="1355"/>
      <c r="AD291" s="1535"/>
      <c r="AE291" s="1355"/>
      <c r="AF291" s="1355"/>
      <c r="AG291" s="1355"/>
      <c r="AH291" s="1361"/>
      <c r="AI291" s="1482"/>
      <c r="AJ291" s="1543"/>
      <c r="AK291" s="1539"/>
      <c r="AL291" s="1541"/>
      <c r="AM291" s="1572"/>
      <c r="AN291" s="1574"/>
      <c r="AO291" s="1404"/>
      <c r="AP291" s="1533"/>
      <c r="AQ291" s="1404"/>
      <c r="AR291" s="1584"/>
      <c r="AS291" s="1537"/>
      <c r="AT291" s="1532" t="str">
        <f t="shared" ref="AT291" si="338">IF(AV292="","",IF(OR(AB292="",AB292&lt;&gt;7,AD292="",AD292&lt;&gt;3),"！算定期間の終わりが令和７年３月になっていません。年度内の廃止予定等がなければ、算定対象月を令和７年３月にしてください。",""))</f>
        <v/>
      </c>
      <c r="AU291" s="674"/>
      <c r="AV291" s="1493"/>
      <c r="AW291" s="1518" t="str">
        <f>IF('別紙様式2-2（４・５月分）'!O222="","",'別紙様式2-2（４・５月分）'!O222)</f>
        <v/>
      </c>
      <c r="AX291" s="1507"/>
      <c r="AY291" s="1589"/>
      <c r="AZ291" s="521"/>
      <c r="BE291" s="428"/>
      <c r="BF291" s="1493" t="str">
        <f>G290</f>
        <v/>
      </c>
      <c r="BG291" s="1493"/>
      <c r="BH291" s="1493"/>
    </row>
    <row r="292" spans="1:60" ht="15" customHeight="1">
      <c r="A292" s="1240"/>
      <c r="B292" s="1272"/>
      <c r="C292" s="1261"/>
      <c r="D292" s="1261"/>
      <c r="E292" s="1261"/>
      <c r="F292" s="1262"/>
      <c r="G292" s="1266"/>
      <c r="H292" s="1266"/>
      <c r="I292" s="1266"/>
      <c r="J292" s="1372"/>
      <c r="K292" s="1266"/>
      <c r="L292" s="1451"/>
      <c r="M292" s="1448"/>
      <c r="N292" s="1371"/>
      <c r="O292" s="1368"/>
      <c r="P292" s="1390" t="s">
        <v>2179</v>
      </c>
      <c r="Q292" s="1504" t="str">
        <f>IFERROR(VLOOKUP('別紙様式2-2（４・５月分）'!AR221,【参考】数式用!$AT$5:$AV$22,3,FALSE),"")</f>
        <v/>
      </c>
      <c r="R292" s="1388" t="s">
        <v>2190</v>
      </c>
      <c r="S292" s="1396" t="str">
        <f>IFERROR(VLOOKUP(K290,【参考】数式用!$A$5:$AB$27,MATCH(Q292,【参考】数式用!$B$4:$AB$4,0)+1,0),"")</f>
        <v/>
      </c>
      <c r="T292" s="1459" t="s">
        <v>2267</v>
      </c>
      <c r="U292" s="1569"/>
      <c r="V292" s="1463" t="str">
        <f>IFERROR(VLOOKUP(K290,【参考】数式用!$A$5:$AB$27,MATCH(U292,【参考】数式用!$B$4:$AB$4,0)+1,0),"")</f>
        <v/>
      </c>
      <c r="W292" s="1465" t="s">
        <v>19</v>
      </c>
      <c r="X292" s="1564"/>
      <c r="Y292" s="1407" t="s">
        <v>10</v>
      </c>
      <c r="Z292" s="1564"/>
      <c r="AA292" s="1407" t="s">
        <v>45</v>
      </c>
      <c r="AB292" s="1564"/>
      <c r="AC292" s="1407" t="s">
        <v>10</v>
      </c>
      <c r="AD292" s="1564"/>
      <c r="AE292" s="1407" t="s">
        <v>2172</v>
      </c>
      <c r="AF292" s="1407" t="s">
        <v>24</v>
      </c>
      <c r="AG292" s="1407" t="str">
        <f>IF(X292&gt;=1,(AB292*12+AD292)-(X292*12+Z292)+1,"")</f>
        <v/>
      </c>
      <c r="AH292" s="1409" t="s">
        <v>38</v>
      </c>
      <c r="AI292" s="1411" t="str">
        <f t="shared" ref="AI292" si="339">IFERROR(ROUNDDOWN(ROUND(L290*V292,0)*M290,0)*AG292,"")</f>
        <v/>
      </c>
      <c r="AJ292" s="1577" t="str">
        <f>IFERROR(ROUNDDOWN(ROUND((L290*(V292-AX290)),0)*M290,0)*AG292,"")</f>
        <v/>
      </c>
      <c r="AK292" s="1494" t="str">
        <f>IFERROR(ROUNDDOWN(ROUNDDOWN(ROUND(L290*VLOOKUP(K290,【参考】数式用!$A$5:$AB$27,MATCH("新加算Ⅳ",【参考】数式用!$B$4:$AB$4,0)+1,0),0)*M290,0)*AG292*0.5,0),"")</f>
        <v/>
      </c>
      <c r="AL292" s="1579"/>
      <c r="AM292" s="1585" t="str">
        <f>IFERROR(IF('別紙様式2-2（４・５月分）'!Q223="ベア加算","", IF(OR(U292="新加算Ⅰ",U292="新加算Ⅱ",U292="新加算Ⅲ",U292="新加算Ⅳ"),ROUNDDOWN(ROUND(L290*VLOOKUP(K290,【参考】数式用!$A$5:$I$27,MATCH("ベア加算",【参考】数式用!$B$4:$I$4,0)+1,0),0)*M290,0)*AG292,"")),"")</f>
        <v/>
      </c>
      <c r="AN292" s="1548"/>
      <c r="AO292" s="1554"/>
      <c r="AP292" s="1552"/>
      <c r="AQ292" s="1554"/>
      <c r="AR292" s="1556"/>
      <c r="AS292" s="1558"/>
      <c r="AT292" s="1532"/>
      <c r="AU292" s="542"/>
      <c r="AV292" s="1493" t="str">
        <f t="shared" ref="AV292" si="340">IF(OR(AB290&lt;&gt;7,AD290&lt;&gt;3),"V列に色付け","")</f>
        <v/>
      </c>
      <c r="AW292" s="1518"/>
      <c r="AX292" s="1507"/>
      <c r="AY292" s="671"/>
      <c r="AZ292" s="1321" t="str">
        <f>IF(AM292&lt;&gt;"",IF(AN292="○","入力済","未入力"),"")</f>
        <v/>
      </c>
      <c r="BA292" s="1321"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321" t="str">
        <f>IF(OR(U292="新加算Ⅴ（７）",U292="新加算Ⅴ（９）",U292="新加算Ⅴ（10）",U292="新加算Ⅴ（12）",U292="新加算Ⅴ（13）",U292="新加算Ⅴ（14）"),IF(OR(AP292="○",AP292="令和６年度中に満たす"),"入力済","未入力"),"")</f>
        <v/>
      </c>
      <c r="BC292" s="1321" t="str">
        <f>IF(OR(U292="新加算Ⅰ",U292="新加算Ⅱ",U292="新加算Ⅲ",U292="新加算Ⅴ（１）",U292="新加算Ⅴ（３）",U292="新加算Ⅴ（８）"),IF(OR(AQ292="○",AQ292="令和６年度中に満たす"),"入力済","未入力"),"")</f>
        <v/>
      </c>
      <c r="BD292" s="1588"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493" t="str">
        <f>IF(OR(U292="新加算Ⅰ",U292="新加算Ⅴ（１）",U292="新加算Ⅴ（２）",U292="新加算Ⅴ（５）",U292="新加算Ⅴ（７）",U292="新加算Ⅴ（10）"),IF(AS292="","未入力","入力済"),"")</f>
        <v/>
      </c>
      <c r="BF292" s="1493" t="str">
        <f>G290</f>
        <v/>
      </c>
      <c r="BG292" s="1493"/>
      <c r="BH292" s="1493"/>
    </row>
    <row r="293" spans="1:60" ht="30" customHeight="1" thickBot="1">
      <c r="A293" s="1227"/>
      <c r="B293" s="1376"/>
      <c r="C293" s="1377"/>
      <c r="D293" s="1377"/>
      <c r="E293" s="1377"/>
      <c r="F293" s="1378"/>
      <c r="G293" s="1267"/>
      <c r="H293" s="1267"/>
      <c r="I293" s="1267"/>
      <c r="J293" s="1373"/>
      <c r="K293" s="1267"/>
      <c r="L293" s="1452"/>
      <c r="M293" s="1449"/>
      <c r="N293" s="650" t="str">
        <f>IF('別紙様式2-2（４・５月分）'!Q223="","",'別紙様式2-2（４・５月分）'!Q223)</f>
        <v/>
      </c>
      <c r="O293" s="1369"/>
      <c r="P293" s="1391"/>
      <c r="Q293" s="1505"/>
      <c r="R293" s="1389"/>
      <c r="S293" s="1395"/>
      <c r="T293" s="1460"/>
      <c r="U293" s="1570"/>
      <c r="V293" s="1464"/>
      <c r="W293" s="1466"/>
      <c r="X293" s="1565"/>
      <c r="Y293" s="1408"/>
      <c r="Z293" s="1565"/>
      <c r="AA293" s="1408"/>
      <c r="AB293" s="1565"/>
      <c r="AC293" s="1408"/>
      <c r="AD293" s="1565"/>
      <c r="AE293" s="1408"/>
      <c r="AF293" s="1408"/>
      <c r="AG293" s="1408"/>
      <c r="AH293" s="1410"/>
      <c r="AI293" s="1412"/>
      <c r="AJ293" s="1578"/>
      <c r="AK293" s="1495"/>
      <c r="AL293" s="1580"/>
      <c r="AM293" s="1586"/>
      <c r="AN293" s="1549"/>
      <c r="AO293" s="1555"/>
      <c r="AP293" s="1553"/>
      <c r="AQ293" s="1555"/>
      <c r="AR293" s="1557"/>
      <c r="AS293" s="1559"/>
      <c r="AT293" s="672" t="str">
        <f t="shared" ref="AT293" si="341">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42"/>
      <c r="AV293" s="1493"/>
      <c r="AW293" s="652" t="str">
        <f>IF('別紙様式2-2（４・５月分）'!O223="","",'別紙様式2-2（４・５月分）'!O223)</f>
        <v/>
      </c>
      <c r="AX293" s="1507"/>
      <c r="AY293" s="673"/>
      <c r="AZ293" s="1321" t="str">
        <f>IF(OR(U293="新加算Ⅰ",U293="新加算Ⅱ",U293="新加算Ⅲ",U293="新加算Ⅳ",U293="新加算Ⅴ（１）",U293="新加算Ⅴ（２）",U293="新加算Ⅴ（３）",U293="新加算ⅠⅤ（４）",U293="新加算Ⅴ（５）",U293="新加算Ⅴ（６）",U293="新加算Ⅴ（８）",U293="新加算Ⅴ（11）"),IF(AJ293="○","","未入力"),"")</f>
        <v/>
      </c>
      <c r="BA293" s="1321" t="str">
        <f>IF(OR(V293="新加算Ⅰ",V293="新加算Ⅱ",V293="新加算Ⅲ",V293="新加算Ⅳ",V293="新加算Ⅴ（１）",V293="新加算Ⅴ（２）",V293="新加算Ⅴ（３）",V293="新加算ⅠⅤ（４）",V293="新加算Ⅴ（５）",V293="新加算Ⅴ（６）",V293="新加算Ⅴ（８）",V293="新加算Ⅴ（11）"),IF(AK293="○","","未入力"),"")</f>
        <v/>
      </c>
      <c r="BB293" s="1321" t="str">
        <f>IF(OR(V293="新加算Ⅴ（７）",V293="新加算Ⅴ（９）",V293="新加算Ⅴ（10）",V293="新加算Ⅴ（12）",V293="新加算Ⅴ（13）",V293="新加算Ⅴ（14）"),IF(AL293="○","","未入力"),"")</f>
        <v/>
      </c>
      <c r="BC293" s="1321" t="str">
        <f>IF(OR(V293="新加算Ⅰ",V293="新加算Ⅱ",V293="新加算Ⅲ",V293="新加算Ⅴ（１）",V293="新加算Ⅴ（３）",V293="新加算Ⅴ（８）"),IF(AM293="○","","未入力"),"")</f>
        <v/>
      </c>
      <c r="BD293" s="1588"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493" t="str">
        <f>IF(AND(U293&lt;&gt;"（参考）令和７年度の移行予定",OR(V293="新加算Ⅰ",V293="新加算Ⅴ（１）",V293="新加算Ⅴ（２）",V293="新加算Ⅴ（５）",V293="新加算Ⅴ（７）",V293="新加算Ⅴ（10）")),IF(AO293="","未入力",IF(AO293="いずれも取得していない","要件を満たさない","")),"")</f>
        <v/>
      </c>
      <c r="BF293" s="1493" t="str">
        <f>G290</f>
        <v/>
      </c>
      <c r="BG293" s="1493"/>
      <c r="BH293" s="1493"/>
    </row>
    <row r="294" spans="1:60" ht="30" customHeight="1">
      <c r="A294" s="1225">
        <v>71</v>
      </c>
      <c r="B294" s="1272" t="str">
        <f>IF(基本情報入力シート!C124="","",基本情報入力シート!C124)</f>
        <v/>
      </c>
      <c r="C294" s="1261"/>
      <c r="D294" s="1261"/>
      <c r="E294" s="1261"/>
      <c r="F294" s="1262"/>
      <c r="G294" s="1266" t="str">
        <f>IF(基本情報入力シート!M124="","",基本情報入力シート!M124)</f>
        <v/>
      </c>
      <c r="H294" s="1266" t="str">
        <f>IF(基本情報入力シート!R124="","",基本情報入力シート!R124)</f>
        <v/>
      </c>
      <c r="I294" s="1266" t="str">
        <f>IF(基本情報入力シート!W124="","",基本情報入力シート!W124)</f>
        <v/>
      </c>
      <c r="J294" s="1372" t="str">
        <f>IF(基本情報入力シート!X124="","",基本情報入力シート!X124)</f>
        <v/>
      </c>
      <c r="K294" s="1266" t="str">
        <f>IF(基本情報入力シート!Y124="","",基本情報入力シート!Y124)</f>
        <v/>
      </c>
      <c r="L294" s="1451" t="str">
        <f>IF(基本情報入力シート!AB124="","",基本情報入力シート!AB124)</f>
        <v/>
      </c>
      <c r="M294" s="1453" t="str">
        <f>IF(基本情報入力シート!AC124="","",基本情報入力シート!AC124)</f>
        <v/>
      </c>
      <c r="N294" s="647" t="str">
        <f>IF('別紙様式2-2（４・５月分）'!Q224="","",'別紙様式2-2（４・５月分）'!Q224)</f>
        <v/>
      </c>
      <c r="O294" s="1366" t="str">
        <f>IF(SUM('別紙様式2-2（４・５月分）'!R224:R226)=0,"",SUM('別紙様式2-2（４・５月分）'!R224:R226))</f>
        <v/>
      </c>
      <c r="P294" s="1380" t="str">
        <f>IFERROR(VLOOKUP('別紙様式2-2（４・５月分）'!AR224,【参考】数式用!$AT$5:$AU$22,2,FALSE),"")</f>
        <v/>
      </c>
      <c r="Q294" s="1381"/>
      <c r="R294" s="1382"/>
      <c r="S294" s="1392" t="str">
        <f>IFERROR(VLOOKUP(K294,【参考】数式用!$A$5:$AB$27,MATCH(P294,【参考】数式用!$B$4:$AB$4,0)+1,0),"")</f>
        <v/>
      </c>
      <c r="T294" s="1413" t="s">
        <v>2258</v>
      </c>
      <c r="U294" s="1562" t="str">
        <f>IF('別紙様式2-3（６月以降分）'!U294="","",'別紙様式2-3（６月以降分）'!U294)</f>
        <v/>
      </c>
      <c r="V294" s="1457" t="str">
        <f>IFERROR(VLOOKUP(K294,【参考】数式用!$A$5:$AB$27,MATCH(U294,【参考】数式用!$B$4:$AB$4,0)+1,0),"")</f>
        <v/>
      </c>
      <c r="W294" s="1350" t="s">
        <v>19</v>
      </c>
      <c r="X294" s="1534">
        <f>'別紙様式2-3（６月以降分）'!X294</f>
        <v>6</v>
      </c>
      <c r="Y294" s="1354" t="s">
        <v>10</v>
      </c>
      <c r="Z294" s="1534">
        <f>'別紙様式2-3（６月以降分）'!Z294</f>
        <v>6</v>
      </c>
      <c r="AA294" s="1354" t="s">
        <v>45</v>
      </c>
      <c r="AB294" s="1534">
        <f>'別紙様式2-3（６月以降分）'!AB294</f>
        <v>7</v>
      </c>
      <c r="AC294" s="1354" t="s">
        <v>10</v>
      </c>
      <c r="AD294" s="1534">
        <f>'別紙様式2-3（６月以降分）'!AD294</f>
        <v>3</v>
      </c>
      <c r="AE294" s="1354" t="s">
        <v>2172</v>
      </c>
      <c r="AF294" s="1354" t="s">
        <v>24</v>
      </c>
      <c r="AG294" s="1354">
        <f>IF(X294&gt;=1,(AB294*12+AD294)-(X294*12+Z294)+1,"")</f>
        <v>10</v>
      </c>
      <c r="AH294" s="1360" t="s">
        <v>38</v>
      </c>
      <c r="AI294" s="1481" t="str">
        <f>'別紙様式2-3（６月以降分）'!AI294</f>
        <v/>
      </c>
      <c r="AJ294" s="1542" t="str">
        <f>'別紙様式2-3（６月以降分）'!AJ294</f>
        <v/>
      </c>
      <c r="AK294" s="1538">
        <f>'別紙様式2-3（６月以降分）'!AK294</f>
        <v>0</v>
      </c>
      <c r="AL294" s="1540" t="str">
        <f>IF('別紙様式2-3（６月以降分）'!AL294="","",'別紙様式2-3（６月以降分）'!AL294)</f>
        <v/>
      </c>
      <c r="AM294" s="1571">
        <f>'別紙様式2-3（６月以降分）'!AM294</f>
        <v>0</v>
      </c>
      <c r="AN294" s="1573" t="str">
        <f>IF('別紙様式2-3（６月以降分）'!AN294="","",'別紙様式2-3（６月以降分）'!AN294)</f>
        <v/>
      </c>
      <c r="AO294" s="1403" t="str">
        <f>IF('別紙様式2-3（６月以降分）'!AO294="","",'別紙様式2-3（６月以降分）'!AO294)</f>
        <v/>
      </c>
      <c r="AP294" s="1502" t="str">
        <f>IF('別紙様式2-3（６月以降分）'!AP294="","",'別紙様式2-3（６月以降分）'!AP294)</f>
        <v/>
      </c>
      <c r="AQ294" s="1403" t="str">
        <f>IF('別紙様式2-3（６月以降分）'!AQ294="","",'別紙様式2-3（６月以降分）'!AQ294)</f>
        <v/>
      </c>
      <c r="AR294" s="1583" t="str">
        <f>IF('別紙様式2-3（６月以降分）'!AR294="","",'別紙様式2-3（６月以降分）'!AR294)</f>
        <v/>
      </c>
      <c r="AS294" s="1536" t="str">
        <f>IF('別紙様式2-3（６月以降分）'!AS294="","",'別紙様式2-3（６月以降分）'!AS294)</f>
        <v/>
      </c>
      <c r="AT294" s="667" t="str">
        <f t="shared" ref="AT294" si="342">IF(AV296="","",IF(V296&lt;V294,"！加算の要件上は問題ありませんが、令和６年度当初の新加算の加算率と比較して、移行後の加算率が下がる計画になっています。",""))</f>
        <v/>
      </c>
      <c r="AU294" s="674"/>
      <c r="AV294" s="1233"/>
      <c r="AW294" s="652" t="str">
        <f>IF('別紙様式2-2（４・５月分）'!O224="","",'別紙様式2-2（４・５月分）'!O224)</f>
        <v/>
      </c>
      <c r="AX294" s="1507" t="str">
        <f>IF(SUM('別紙様式2-2（４・５月分）'!P224:P226)=0,"",SUM('別紙様式2-2（４・５月分）'!P224:P226))</f>
        <v/>
      </c>
      <c r="AY294" s="1590" t="str">
        <f>IFERROR(VLOOKUP(K294,【参考】数式用!$AJ$2:$AK$24,2,FALSE),"")</f>
        <v/>
      </c>
      <c r="AZ294" s="584"/>
      <c r="BE294" s="428"/>
      <c r="BF294" s="1493" t="str">
        <f>G294</f>
        <v/>
      </c>
      <c r="BG294" s="1493"/>
      <c r="BH294" s="1493"/>
    </row>
    <row r="295" spans="1:60" ht="15" customHeight="1">
      <c r="A295" s="1226"/>
      <c r="B295" s="1272"/>
      <c r="C295" s="1261"/>
      <c r="D295" s="1261"/>
      <c r="E295" s="1261"/>
      <c r="F295" s="1262"/>
      <c r="G295" s="1266"/>
      <c r="H295" s="1266"/>
      <c r="I295" s="1266"/>
      <c r="J295" s="1372"/>
      <c r="K295" s="1266"/>
      <c r="L295" s="1451"/>
      <c r="M295" s="1453"/>
      <c r="N295" s="1370" t="str">
        <f>IF('別紙様式2-2（４・５月分）'!Q225="","",'別紙様式2-2（４・５月分）'!Q225)</f>
        <v/>
      </c>
      <c r="O295" s="1367"/>
      <c r="P295" s="1383"/>
      <c r="Q295" s="1384"/>
      <c r="R295" s="1385"/>
      <c r="S295" s="1393"/>
      <c r="T295" s="1414"/>
      <c r="U295" s="1563"/>
      <c r="V295" s="1458"/>
      <c r="W295" s="1351"/>
      <c r="X295" s="1535"/>
      <c r="Y295" s="1355"/>
      <c r="Z295" s="1535"/>
      <c r="AA295" s="1355"/>
      <c r="AB295" s="1535"/>
      <c r="AC295" s="1355"/>
      <c r="AD295" s="1535"/>
      <c r="AE295" s="1355"/>
      <c r="AF295" s="1355"/>
      <c r="AG295" s="1355"/>
      <c r="AH295" s="1361"/>
      <c r="AI295" s="1482"/>
      <c r="AJ295" s="1543"/>
      <c r="AK295" s="1539"/>
      <c r="AL295" s="1541"/>
      <c r="AM295" s="1572"/>
      <c r="AN295" s="1574"/>
      <c r="AO295" s="1404"/>
      <c r="AP295" s="1533"/>
      <c r="AQ295" s="1404"/>
      <c r="AR295" s="1584"/>
      <c r="AS295" s="1537"/>
      <c r="AT295" s="1532" t="str">
        <f t="shared" ref="AT295" si="343">IF(AV296="","",IF(OR(AB296="",AB296&lt;&gt;7,AD296="",AD296&lt;&gt;3),"！算定期間の終わりが令和７年３月になっていません。年度内の廃止予定等がなければ、算定対象月を令和７年３月にしてください。",""))</f>
        <v/>
      </c>
      <c r="AU295" s="674"/>
      <c r="AV295" s="1493"/>
      <c r="AW295" s="1518" t="str">
        <f>IF('別紙様式2-2（４・５月分）'!O225="","",'別紙様式2-2（４・５月分）'!O225)</f>
        <v/>
      </c>
      <c r="AX295" s="1507"/>
      <c r="AY295" s="1589"/>
      <c r="AZ295" s="521"/>
      <c r="BE295" s="428"/>
      <c r="BF295" s="1493" t="str">
        <f>G294</f>
        <v/>
      </c>
      <c r="BG295" s="1493"/>
      <c r="BH295" s="1493"/>
    </row>
    <row r="296" spans="1:60" ht="15" customHeight="1">
      <c r="A296" s="1240"/>
      <c r="B296" s="1272"/>
      <c r="C296" s="1261"/>
      <c r="D296" s="1261"/>
      <c r="E296" s="1261"/>
      <c r="F296" s="1262"/>
      <c r="G296" s="1266"/>
      <c r="H296" s="1266"/>
      <c r="I296" s="1266"/>
      <c r="J296" s="1372"/>
      <c r="K296" s="1266"/>
      <c r="L296" s="1451"/>
      <c r="M296" s="1453"/>
      <c r="N296" s="1371"/>
      <c r="O296" s="1368"/>
      <c r="P296" s="1390" t="s">
        <v>2179</v>
      </c>
      <c r="Q296" s="1504" t="str">
        <f>IFERROR(VLOOKUP('別紙様式2-2（４・５月分）'!AR224,【参考】数式用!$AT$5:$AV$22,3,FALSE),"")</f>
        <v/>
      </c>
      <c r="R296" s="1388" t="s">
        <v>2190</v>
      </c>
      <c r="S296" s="1394" t="str">
        <f>IFERROR(VLOOKUP(K294,【参考】数式用!$A$5:$AB$27,MATCH(Q296,【参考】数式用!$B$4:$AB$4,0)+1,0),"")</f>
        <v/>
      </c>
      <c r="T296" s="1459" t="s">
        <v>2267</v>
      </c>
      <c r="U296" s="1569"/>
      <c r="V296" s="1463" t="str">
        <f>IFERROR(VLOOKUP(K294,【参考】数式用!$A$5:$AB$27,MATCH(U296,【参考】数式用!$B$4:$AB$4,0)+1,0),"")</f>
        <v/>
      </c>
      <c r="W296" s="1465" t="s">
        <v>19</v>
      </c>
      <c r="X296" s="1564"/>
      <c r="Y296" s="1407" t="s">
        <v>10</v>
      </c>
      <c r="Z296" s="1564"/>
      <c r="AA296" s="1407" t="s">
        <v>45</v>
      </c>
      <c r="AB296" s="1564"/>
      <c r="AC296" s="1407" t="s">
        <v>10</v>
      </c>
      <c r="AD296" s="1564"/>
      <c r="AE296" s="1407" t="s">
        <v>2172</v>
      </c>
      <c r="AF296" s="1407" t="s">
        <v>24</v>
      </c>
      <c r="AG296" s="1407" t="str">
        <f>IF(X296&gt;=1,(AB296*12+AD296)-(X296*12+Z296)+1,"")</f>
        <v/>
      </c>
      <c r="AH296" s="1409" t="s">
        <v>38</v>
      </c>
      <c r="AI296" s="1411" t="str">
        <f t="shared" ref="AI296" si="344">IFERROR(ROUNDDOWN(ROUND(L294*V296,0)*M294,0)*AG296,"")</f>
        <v/>
      </c>
      <c r="AJ296" s="1577" t="str">
        <f>IFERROR(ROUNDDOWN(ROUND((L294*(V296-AX294)),0)*M294,0)*AG296,"")</f>
        <v/>
      </c>
      <c r="AK296" s="1494" t="str">
        <f>IFERROR(ROUNDDOWN(ROUNDDOWN(ROUND(L294*VLOOKUP(K294,【参考】数式用!$A$5:$AB$27,MATCH("新加算Ⅳ",【参考】数式用!$B$4:$AB$4,0)+1,0),0)*M294,0)*AG296*0.5,0),"")</f>
        <v/>
      </c>
      <c r="AL296" s="1579"/>
      <c r="AM296" s="1585" t="str">
        <f>IFERROR(IF('別紙様式2-2（４・５月分）'!Q226="ベア加算","", IF(OR(U296="新加算Ⅰ",U296="新加算Ⅱ",U296="新加算Ⅲ",U296="新加算Ⅳ"),ROUNDDOWN(ROUND(L294*VLOOKUP(K294,【参考】数式用!$A$5:$I$27,MATCH("ベア加算",【参考】数式用!$B$4:$I$4,0)+1,0),0)*M294,0)*AG296,"")),"")</f>
        <v/>
      </c>
      <c r="AN296" s="1548"/>
      <c r="AO296" s="1554"/>
      <c r="AP296" s="1552"/>
      <c r="AQ296" s="1554"/>
      <c r="AR296" s="1556"/>
      <c r="AS296" s="1558"/>
      <c r="AT296" s="1532"/>
      <c r="AU296" s="542"/>
      <c r="AV296" s="1493" t="str">
        <f t="shared" ref="AV296" si="345">IF(OR(AB294&lt;&gt;7,AD294&lt;&gt;3),"V列に色付け","")</f>
        <v/>
      </c>
      <c r="AW296" s="1518"/>
      <c r="AX296" s="1507"/>
      <c r="AY296" s="671"/>
      <c r="AZ296" s="1321" t="str">
        <f>IF(AM296&lt;&gt;"",IF(AN296="○","入力済","未入力"),"")</f>
        <v/>
      </c>
      <c r="BA296" s="1321"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321" t="str">
        <f>IF(OR(U296="新加算Ⅴ（７）",U296="新加算Ⅴ（９）",U296="新加算Ⅴ（10）",U296="新加算Ⅴ（12）",U296="新加算Ⅴ（13）",U296="新加算Ⅴ（14）"),IF(OR(AP296="○",AP296="令和６年度中に満たす"),"入力済","未入力"),"")</f>
        <v/>
      </c>
      <c r="BC296" s="1321" t="str">
        <f>IF(OR(U296="新加算Ⅰ",U296="新加算Ⅱ",U296="新加算Ⅲ",U296="新加算Ⅴ（１）",U296="新加算Ⅴ（３）",U296="新加算Ⅴ（８）"),IF(OR(AQ296="○",AQ296="令和６年度中に満たす"),"入力済","未入力"),"")</f>
        <v/>
      </c>
      <c r="BD296" s="1588"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493" t="str">
        <f>IF(OR(U296="新加算Ⅰ",U296="新加算Ⅴ（１）",U296="新加算Ⅴ（２）",U296="新加算Ⅴ（５）",U296="新加算Ⅴ（７）",U296="新加算Ⅴ（10）"),IF(AS296="","未入力","入力済"),"")</f>
        <v/>
      </c>
      <c r="BF296" s="1493" t="str">
        <f>G294</f>
        <v/>
      </c>
      <c r="BG296" s="1493"/>
      <c r="BH296" s="1493"/>
    </row>
    <row r="297" spans="1:60" ht="30" customHeight="1" thickBot="1">
      <c r="A297" s="1227"/>
      <c r="B297" s="1376"/>
      <c r="C297" s="1377"/>
      <c r="D297" s="1377"/>
      <c r="E297" s="1377"/>
      <c r="F297" s="1378"/>
      <c r="G297" s="1267"/>
      <c r="H297" s="1267"/>
      <c r="I297" s="1267"/>
      <c r="J297" s="1373"/>
      <c r="K297" s="1267"/>
      <c r="L297" s="1452"/>
      <c r="M297" s="1454"/>
      <c r="N297" s="650" t="str">
        <f>IF('別紙様式2-2（４・５月分）'!Q226="","",'別紙様式2-2（４・５月分）'!Q226)</f>
        <v/>
      </c>
      <c r="O297" s="1369"/>
      <c r="P297" s="1391"/>
      <c r="Q297" s="1505"/>
      <c r="R297" s="1389"/>
      <c r="S297" s="1395"/>
      <c r="T297" s="1460"/>
      <c r="U297" s="1570"/>
      <c r="V297" s="1464"/>
      <c r="W297" s="1466"/>
      <c r="X297" s="1565"/>
      <c r="Y297" s="1408"/>
      <c r="Z297" s="1565"/>
      <c r="AA297" s="1408"/>
      <c r="AB297" s="1565"/>
      <c r="AC297" s="1408"/>
      <c r="AD297" s="1565"/>
      <c r="AE297" s="1408"/>
      <c r="AF297" s="1408"/>
      <c r="AG297" s="1408"/>
      <c r="AH297" s="1410"/>
      <c r="AI297" s="1412"/>
      <c r="AJ297" s="1578"/>
      <c r="AK297" s="1495"/>
      <c r="AL297" s="1580"/>
      <c r="AM297" s="1586"/>
      <c r="AN297" s="1549"/>
      <c r="AO297" s="1555"/>
      <c r="AP297" s="1553"/>
      <c r="AQ297" s="1555"/>
      <c r="AR297" s="1557"/>
      <c r="AS297" s="1559"/>
      <c r="AT297" s="672" t="str">
        <f t="shared" ref="AT297" si="34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42"/>
      <c r="AV297" s="1493"/>
      <c r="AW297" s="652" t="str">
        <f>IF('別紙様式2-2（４・５月分）'!O226="","",'別紙様式2-2（４・５月分）'!O226)</f>
        <v/>
      </c>
      <c r="AX297" s="1507"/>
      <c r="AY297" s="673"/>
      <c r="AZ297" s="1321" t="str">
        <f>IF(OR(U297="新加算Ⅰ",U297="新加算Ⅱ",U297="新加算Ⅲ",U297="新加算Ⅳ",U297="新加算Ⅴ（１）",U297="新加算Ⅴ（２）",U297="新加算Ⅴ（３）",U297="新加算ⅠⅤ（４）",U297="新加算Ⅴ（５）",U297="新加算Ⅴ（６）",U297="新加算Ⅴ（８）",U297="新加算Ⅴ（11）"),IF(AJ297="○","","未入力"),"")</f>
        <v/>
      </c>
      <c r="BA297" s="1321" t="str">
        <f>IF(OR(V297="新加算Ⅰ",V297="新加算Ⅱ",V297="新加算Ⅲ",V297="新加算Ⅳ",V297="新加算Ⅴ（１）",V297="新加算Ⅴ（２）",V297="新加算Ⅴ（３）",V297="新加算ⅠⅤ（４）",V297="新加算Ⅴ（５）",V297="新加算Ⅴ（６）",V297="新加算Ⅴ（８）",V297="新加算Ⅴ（11）"),IF(AK297="○","","未入力"),"")</f>
        <v/>
      </c>
      <c r="BB297" s="1321" t="str">
        <f>IF(OR(V297="新加算Ⅴ（７）",V297="新加算Ⅴ（９）",V297="新加算Ⅴ（10）",V297="新加算Ⅴ（12）",V297="新加算Ⅴ（13）",V297="新加算Ⅴ（14）"),IF(AL297="○","","未入力"),"")</f>
        <v/>
      </c>
      <c r="BC297" s="1321" t="str">
        <f>IF(OR(V297="新加算Ⅰ",V297="新加算Ⅱ",V297="新加算Ⅲ",V297="新加算Ⅴ（１）",V297="新加算Ⅴ（３）",V297="新加算Ⅴ（８）"),IF(AM297="○","","未入力"),"")</f>
        <v/>
      </c>
      <c r="BD297" s="1588"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493" t="str">
        <f>IF(AND(U297&lt;&gt;"（参考）令和７年度の移行予定",OR(V297="新加算Ⅰ",V297="新加算Ⅴ（１）",V297="新加算Ⅴ（２）",V297="新加算Ⅴ（５）",V297="新加算Ⅴ（７）",V297="新加算Ⅴ（10）")),IF(AO297="","未入力",IF(AO297="いずれも取得していない","要件を満たさない","")),"")</f>
        <v/>
      </c>
      <c r="BF297" s="1493" t="str">
        <f>G294</f>
        <v/>
      </c>
      <c r="BG297" s="1493"/>
      <c r="BH297" s="1493"/>
    </row>
    <row r="298" spans="1:60" ht="30" customHeight="1">
      <c r="A298" s="1241">
        <v>72</v>
      </c>
      <c r="B298" s="1271" t="str">
        <f>IF(基本情報入力シート!C125="","",基本情報入力シート!C125)</f>
        <v/>
      </c>
      <c r="C298" s="1259"/>
      <c r="D298" s="1259"/>
      <c r="E298" s="1259"/>
      <c r="F298" s="1260"/>
      <c r="G298" s="1265" t="str">
        <f>IF(基本情報入力シート!M125="","",基本情報入力シート!M125)</f>
        <v/>
      </c>
      <c r="H298" s="1265" t="str">
        <f>IF(基本情報入力シート!R125="","",基本情報入力シート!R125)</f>
        <v/>
      </c>
      <c r="I298" s="1265" t="str">
        <f>IF(基本情報入力シート!W125="","",基本情報入力シート!W125)</f>
        <v/>
      </c>
      <c r="J298" s="1379" t="str">
        <f>IF(基本情報入力シート!X125="","",基本情報入力シート!X125)</f>
        <v/>
      </c>
      <c r="K298" s="1265" t="str">
        <f>IF(基本情報入力シート!Y125="","",基本情報入力シート!Y125)</f>
        <v/>
      </c>
      <c r="L298" s="1450" t="str">
        <f>IF(基本情報入力シート!AB125="","",基本情報入力シート!AB125)</f>
        <v/>
      </c>
      <c r="M298" s="1447" t="str">
        <f>IF(基本情報入力シート!AC125="","",基本情報入力シート!AC125)</f>
        <v/>
      </c>
      <c r="N298" s="647" t="str">
        <f>IF('別紙様式2-2（４・５月分）'!Q227="","",'別紙様式2-2（４・５月分）'!Q227)</f>
        <v/>
      </c>
      <c r="O298" s="1366" t="str">
        <f>IF(SUM('別紙様式2-2（４・５月分）'!R227:R229)=0,"",SUM('別紙様式2-2（４・５月分）'!R227:R229))</f>
        <v/>
      </c>
      <c r="P298" s="1380" t="str">
        <f>IFERROR(VLOOKUP('別紙様式2-2（４・５月分）'!AR227,【参考】数式用!$AT$5:$AU$22,2,FALSE),"")</f>
        <v/>
      </c>
      <c r="Q298" s="1381"/>
      <c r="R298" s="1382"/>
      <c r="S298" s="1392" t="str">
        <f>IFERROR(VLOOKUP(K298,【参考】数式用!$A$5:$AB$27,MATCH(P298,【参考】数式用!$B$4:$AB$4,0)+1,0),"")</f>
        <v/>
      </c>
      <c r="T298" s="1413" t="s">
        <v>2258</v>
      </c>
      <c r="U298" s="1562" t="str">
        <f>IF('別紙様式2-3（６月以降分）'!U298="","",'別紙様式2-3（６月以降分）'!U298)</f>
        <v/>
      </c>
      <c r="V298" s="1457" t="str">
        <f>IFERROR(VLOOKUP(K298,【参考】数式用!$A$5:$AB$27,MATCH(U298,【参考】数式用!$B$4:$AB$4,0)+1,0),"")</f>
        <v/>
      </c>
      <c r="W298" s="1350" t="s">
        <v>19</v>
      </c>
      <c r="X298" s="1534">
        <f>'別紙様式2-3（６月以降分）'!X298</f>
        <v>6</v>
      </c>
      <c r="Y298" s="1354" t="s">
        <v>10</v>
      </c>
      <c r="Z298" s="1534">
        <f>'別紙様式2-3（６月以降分）'!Z298</f>
        <v>6</v>
      </c>
      <c r="AA298" s="1354" t="s">
        <v>45</v>
      </c>
      <c r="AB298" s="1534">
        <f>'別紙様式2-3（６月以降分）'!AB298</f>
        <v>7</v>
      </c>
      <c r="AC298" s="1354" t="s">
        <v>10</v>
      </c>
      <c r="AD298" s="1534">
        <f>'別紙様式2-3（６月以降分）'!AD298</f>
        <v>3</v>
      </c>
      <c r="AE298" s="1354" t="s">
        <v>2172</v>
      </c>
      <c r="AF298" s="1354" t="s">
        <v>24</v>
      </c>
      <c r="AG298" s="1354">
        <f>IF(X298&gt;=1,(AB298*12+AD298)-(X298*12+Z298)+1,"")</f>
        <v>10</v>
      </c>
      <c r="AH298" s="1360" t="s">
        <v>38</v>
      </c>
      <c r="AI298" s="1481" t="str">
        <f>'別紙様式2-3（６月以降分）'!AI298</f>
        <v/>
      </c>
      <c r="AJ298" s="1542" t="str">
        <f>'別紙様式2-3（６月以降分）'!AJ298</f>
        <v/>
      </c>
      <c r="AK298" s="1538">
        <f>'別紙様式2-3（６月以降分）'!AK298</f>
        <v>0</v>
      </c>
      <c r="AL298" s="1540" t="str">
        <f>IF('別紙様式2-3（６月以降分）'!AL298="","",'別紙様式2-3（６月以降分）'!AL298)</f>
        <v/>
      </c>
      <c r="AM298" s="1571">
        <f>'別紙様式2-3（６月以降分）'!AM298</f>
        <v>0</v>
      </c>
      <c r="AN298" s="1573" t="str">
        <f>IF('別紙様式2-3（６月以降分）'!AN298="","",'別紙様式2-3（６月以降分）'!AN298)</f>
        <v/>
      </c>
      <c r="AO298" s="1403" t="str">
        <f>IF('別紙様式2-3（６月以降分）'!AO298="","",'別紙様式2-3（６月以降分）'!AO298)</f>
        <v/>
      </c>
      <c r="AP298" s="1502" t="str">
        <f>IF('別紙様式2-3（６月以降分）'!AP298="","",'別紙様式2-3（６月以降分）'!AP298)</f>
        <v/>
      </c>
      <c r="AQ298" s="1403" t="str">
        <f>IF('別紙様式2-3（６月以降分）'!AQ298="","",'別紙様式2-3（６月以降分）'!AQ298)</f>
        <v/>
      </c>
      <c r="AR298" s="1583" t="str">
        <f>IF('別紙様式2-3（６月以降分）'!AR298="","",'別紙様式2-3（６月以降分）'!AR298)</f>
        <v/>
      </c>
      <c r="AS298" s="1536" t="str">
        <f>IF('別紙様式2-3（６月以降分）'!AS298="","",'別紙様式2-3（６月以降分）'!AS298)</f>
        <v/>
      </c>
      <c r="AT298" s="667" t="str">
        <f t="shared" ref="AT298" si="347">IF(AV300="","",IF(V300&lt;V298,"！加算の要件上は問題ありませんが、令和６年度当初の新加算の加算率と比較して、移行後の加算率が下がる計画になっています。",""))</f>
        <v/>
      </c>
      <c r="AU298" s="674"/>
      <c r="AV298" s="1233"/>
      <c r="AW298" s="652" t="str">
        <f>IF('別紙様式2-2（４・５月分）'!O227="","",'別紙様式2-2（４・５月分）'!O227)</f>
        <v/>
      </c>
      <c r="AX298" s="1507" t="str">
        <f>IF(SUM('別紙様式2-2（４・５月分）'!P227:P229)=0,"",SUM('別紙様式2-2（４・５月分）'!P227:P229))</f>
        <v/>
      </c>
      <c r="AY298" s="1589" t="str">
        <f>IFERROR(VLOOKUP(K298,【参考】数式用!$AJ$2:$AK$24,2,FALSE),"")</f>
        <v/>
      </c>
      <c r="AZ298" s="584"/>
      <c r="BE298" s="428"/>
      <c r="BF298" s="1493" t="str">
        <f>G298</f>
        <v/>
      </c>
      <c r="BG298" s="1493"/>
      <c r="BH298" s="1493"/>
    </row>
    <row r="299" spans="1:60" ht="15" customHeight="1">
      <c r="A299" s="1226"/>
      <c r="B299" s="1272"/>
      <c r="C299" s="1261"/>
      <c r="D299" s="1261"/>
      <c r="E299" s="1261"/>
      <c r="F299" s="1262"/>
      <c r="G299" s="1266"/>
      <c r="H299" s="1266"/>
      <c r="I299" s="1266"/>
      <c r="J299" s="1372"/>
      <c r="K299" s="1266"/>
      <c r="L299" s="1451"/>
      <c r="M299" s="1448"/>
      <c r="N299" s="1370" t="str">
        <f>IF('別紙様式2-2（４・５月分）'!Q228="","",'別紙様式2-2（４・５月分）'!Q228)</f>
        <v/>
      </c>
      <c r="O299" s="1367"/>
      <c r="P299" s="1383"/>
      <c r="Q299" s="1384"/>
      <c r="R299" s="1385"/>
      <c r="S299" s="1393"/>
      <c r="T299" s="1414"/>
      <c r="U299" s="1563"/>
      <c r="V299" s="1458"/>
      <c r="W299" s="1351"/>
      <c r="X299" s="1535"/>
      <c r="Y299" s="1355"/>
      <c r="Z299" s="1535"/>
      <c r="AA299" s="1355"/>
      <c r="AB299" s="1535"/>
      <c r="AC299" s="1355"/>
      <c r="AD299" s="1535"/>
      <c r="AE299" s="1355"/>
      <c r="AF299" s="1355"/>
      <c r="AG299" s="1355"/>
      <c r="AH299" s="1361"/>
      <c r="AI299" s="1482"/>
      <c r="AJ299" s="1543"/>
      <c r="AK299" s="1539"/>
      <c r="AL299" s="1541"/>
      <c r="AM299" s="1572"/>
      <c r="AN299" s="1574"/>
      <c r="AO299" s="1404"/>
      <c r="AP299" s="1533"/>
      <c r="AQ299" s="1404"/>
      <c r="AR299" s="1584"/>
      <c r="AS299" s="1537"/>
      <c r="AT299" s="1532" t="str">
        <f t="shared" ref="AT299" si="348">IF(AV300="","",IF(OR(AB300="",AB300&lt;&gt;7,AD300="",AD300&lt;&gt;3),"！算定期間の終わりが令和７年３月になっていません。年度内の廃止予定等がなければ、算定対象月を令和７年３月にしてください。",""))</f>
        <v/>
      </c>
      <c r="AU299" s="674"/>
      <c r="AV299" s="1493"/>
      <c r="AW299" s="1518" t="str">
        <f>IF('別紙様式2-2（４・５月分）'!O228="","",'別紙様式2-2（４・５月分）'!O228)</f>
        <v/>
      </c>
      <c r="AX299" s="1507"/>
      <c r="AY299" s="1589"/>
      <c r="AZ299" s="521"/>
      <c r="BE299" s="428"/>
      <c r="BF299" s="1493" t="str">
        <f>G298</f>
        <v/>
      </c>
      <c r="BG299" s="1493"/>
      <c r="BH299" s="1493"/>
    </row>
    <row r="300" spans="1:60" ht="15" customHeight="1">
      <c r="A300" s="1240"/>
      <c r="B300" s="1272"/>
      <c r="C300" s="1261"/>
      <c r="D300" s="1261"/>
      <c r="E300" s="1261"/>
      <c r="F300" s="1262"/>
      <c r="G300" s="1266"/>
      <c r="H300" s="1266"/>
      <c r="I300" s="1266"/>
      <c r="J300" s="1372"/>
      <c r="K300" s="1266"/>
      <c r="L300" s="1451"/>
      <c r="M300" s="1448"/>
      <c r="N300" s="1371"/>
      <c r="O300" s="1368"/>
      <c r="P300" s="1390" t="s">
        <v>2179</v>
      </c>
      <c r="Q300" s="1504" t="str">
        <f>IFERROR(VLOOKUP('別紙様式2-2（４・５月分）'!AR227,【参考】数式用!$AT$5:$AV$22,3,FALSE),"")</f>
        <v/>
      </c>
      <c r="R300" s="1388" t="s">
        <v>2190</v>
      </c>
      <c r="S300" s="1396" t="str">
        <f>IFERROR(VLOOKUP(K298,【参考】数式用!$A$5:$AB$27,MATCH(Q300,【参考】数式用!$B$4:$AB$4,0)+1,0),"")</f>
        <v/>
      </c>
      <c r="T300" s="1459" t="s">
        <v>2267</v>
      </c>
      <c r="U300" s="1569"/>
      <c r="V300" s="1463" t="str">
        <f>IFERROR(VLOOKUP(K298,【参考】数式用!$A$5:$AB$27,MATCH(U300,【参考】数式用!$B$4:$AB$4,0)+1,0),"")</f>
        <v/>
      </c>
      <c r="W300" s="1465" t="s">
        <v>19</v>
      </c>
      <c r="X300" s="1564"/>
      <c r="Y300" s="1407" t="s">
        <v>10</v>
      </c>
      <c r="Z300" s="1564"/>
      <c r="AA300" s="1407" t="s">
        <v>45</v>
      </c>
      <c r="AB300" s="1564"/>
      <c r="AC300" s="1407" t="s">
        <v>10</v>
      </c>
      <c r="AD300" s="1564"/>
      <c r="AE300" s="1407" t="s">
        <v>2172</v>
      </c>
      <c r="AF300" s="1407" t="s">
        <v>24</v>
      </c>
      <c r="AG300" s="1407" t="str">
        <f>IF(X300&gt;=1,(AB300*12+AD300)-(X300*12+Z300)+1,"")</f>
        <v/>
      </c>
      <c r="AH300" s="1409" t="s">
        <v>38</v>
      </c>
      <c r="AI300" s="1411" t="str">
        <f t="shared" ref="AI300" si="349">IFERROR(ROUNDDOWN(ROUND(L298*V300,0)*M298,0)*AG300,"")</f>
        <v/>
      </c>
      <c r="AJ300" s="1577" t="str">
        <f>IFERROR(ROUNDDOWN(ROUND((L298*(V300-AX298)),0)*M298,0)*AG300,"")</f>
        <v/>
      </c>
      <c r="AK300" s="1494" t="str">
        <f>IFERROR(ROUNDDOWN(ROUNDDOWN(ROUND(L298*VLOOKUP(K298,【参考】数式用!$A$5:$AB$27,MATCH("新加算Ⅳ",【参考】数式用!$B$4:$AB$4,0)+1,0),0)*M298,0)*AG300*0.5,0),"")</f>
        <v/>
      </c>
      <c r="AL300" s="1579"/>
      <c r="AM300" s="1585" t="str">
        <f>IFERROR(IF('別紙様式2-2（４・５月分）'!Q229="ベア加算","", IF(OR(U300="新加算Ⅰ",U300="新加算Ⅱ",U300="新加算Ⅲ",U300="新加算Ⅳ"),ROUNDDOWN(ROUND(L298*VLOOKUP(K298,【参考】数式用!$A$5:$I$27,MATCH("ベア加算",【参考】数式用!$B$4:$I$4,0)+1,0),0)*M298,0)*AG300,"")),"")</f>
        <v/>
      </c>
      <c r="AN300" s="1548"/>
      <c r="AO300" s="1554"/>
      <c r="AP300" s="1552"/>
      <c r="AQ300" s="1554"/>
      <c r="AR300" s="1556"/>
      <c r="AS300" s="1558"/>
      <c r="AT300" s="1532"/>
      <c r="AU300" s="542"/>
      <c r="AV300" s="1493" t="str">
        <f t="shared" ref="AV300" si="350">IF(OR(AB298&lt;&gt;7,AD298&lt;&gt;3),"V列に色付け","")</f>
        <v/>
      </c>
      <c r="AW300" s="1518"/>
      <c r="AX300" s="1507"/>
      <c r="AY300" s="671"/>
      <c r="AZ300" s="1321" t="str">
        <f>IF(AM300&lt;&gt;"",IF(AN300="○","入力済","未入力"),"")</f>
        <v/>
      </c>
      <c r="BA300" s="1321"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321" t="str">
        <f>IF(OR(U300="新加算Ⅴ（７）",U300="新加算Ⅴ（９）",U300="新加算Ⅴ（10）",U300="新加算Ⅴ（12）",U300="新加算Ⅴ（13）",U300="新加算Ⅴ（14）"),IF(OR(AP300="○",AP300="令和６年度中に満たす"),"入力済","未入力"),"")</f>
        <v/>
      </c>
      <c r="BC300" s="1321" t="str">
        <f>IF(OR(U300="新加算Ⅰ",U300="新加算Ⅱ",U300="新加算Ⅲ",U300="新加算Ⅴ（１）",U300="新加算Ⅴ（３）",U300="新加算Ⅴ（８）"),IF(OR(AQ300="○",AQ300="令和６年度中に満たす"),"入力済","未入力"),"")</f>
        <v/>
      </c>
      <c r="BD300" s="1588"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493" t="str">
        <f>IF(OR(U300="新加算Ⅰ",U300="新加算Ⅴ（１）",U300="新加算Ⅴ（２）",U300="新加算Ⅴ（５）",U300="新加算Ⅴ（７）",U300="新加算Ⅴ（10）"),IF(AS300="","未入力","入力済"),"")</f>
        <v/>
      </c>
      <c r="BF300" s="1493" t="str">
        <f>G298</f>
        <v/>
      </c>
      <c r="BG300" s="1493"/>
      <c r="BH300" s="1493"/>
    </row>
    <row r="301" spans="1:60" ht="30" customHeight="1" thickBot="1">
      <c r="A301" s="1227"/>
      <c r="B301" s="1376"/>
      <c r="C301" s="1377"/>
      <c r="D301" s="1377"/>
      <c r="E301" s="1377"/>
      <c r="F301" s="1378"/>
      <c r="G301" s="1267"/>
      <c r="H301" s="1267"/>
      <c r="I301" s="1267"/>
      <c r="J301" s="1373"/>
      <c r="K301" s="1267"/>
      <c r="L301" s="1452"/>
      <c r="M301" s="1449"/>
      <c r="N301" s="650" t="str">
        <f>IF('別紙様式2-2（４・５月分）'!Q229="","",'別紙様式2-2（４・５月分）'!Q229)</f>
        <v/>
      </c>
      <c r="O301" s="1369"/>
      <c r="P301" s="1391"/>
      <c r="Q301" s="1505"/>
      <c r="R301" s="1389"/>
      <c r="S301" s="1395"/>
      <c r="T301" s="1460"/>
      <c r="U301" s="1570"/>
      <c r="V301" s="1464"/>
      <c r="W301" s="1466"/>
      <c r="X301" s="1565"/>
      <c r="Y301" s="1408"/>
      <c r="Z301" s="1565"/>
      <c r="AA301" s="1408"/>
      <c r="AB301" s="1565"/>
      <c r="AC301" s="1408"/>
      <c r="AD301" s="1565"/>
      <c r="AE301" s="1408"/>
      <c r="AF301" s="1408"/>
      <c r="AG301" s="1408"/>
      <c r="AH301" s="1410"/>
      <c r="AI301" s="1412"/>
      <c r="AJ301" s="1578"/>
      <c r="AK301" s="1495"/>
      <c r="AL301" s="1580"/>
      <c r="AM301" s="1586"/>
      <c r="AN301" s="1549"/>
      <c r="AO301" s="1555"/>
      <c r="AP301" s="1553"/>
      <c r="AQ301" s="1555"/>
      <c r="AR301" s="1557"/>
      <c r="AS301" s="1559"/>
      <c r="AT301" s="672" t="str">
        <f t="shared" ref="AT301" si="351">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42"/>
      <c r="AV301" s="1493"/>
      <c r="AW301" s="652" t="str">
        <f>IF('別紙様式2-2（４・５月分）'!O229="","",'別紙様式2-2（４・５月分）'!O229)</f>
        <v/>
      </c>
      <c r="AX301" s="1507"/>
      <c r="AY301" s="673"/>
      <c r="AZ301" s="1321" t="str">
        <f>IF(OR(U301="新加算Ⅰ",U301="新加算Ⅱ",U301="新加算Ⅲ",U301="新加算Ⅳ",U301="新加算Ⅴ（１）",U301="新加算Ⅴ（２）",U301="新加算Ⅴ（３）",U301="新加算ⅠⅤ（４）",U301="新加算Ⅴ（５）",U301="新加算Ⅴ（６）",U301="新加算Ⅴ（８）",U301="新加算Ⅴ（11）"),IF(AJ301="○","","未入力"),"")</f>
        <v/>
      </c>
      <c r="BA301" s="1321" t="str">
        <f>IF(OR(V301="新加算Ⅰ",V301="新加算Ⅱ",V301="新加算Ⅲ",V301="新加算Ⅳ",V301="新加算Ⅴ（１）",V301="新加算Ⅴ（２）",V301="新加算Ⅴ（３）",V301="新加算ⅠⅤ（４）",V301="新加算Ⅴ（５）",V301="新加算Ⅴ（６）",V301="新加算Ⅴ（８）",V301="新加算Ⅴ（11）"),IF(AK301="○","","未入力"),"")</f>
        <v/>
      </c>
      <c r="BB301" s="1321" t="str">
        <f>IF(OR(V301="新加算Ⅴ（７）",V301="新加算Ⅴ（９）",V301="新加算Ⅴ（10）",V301="新加算Ⅴ（12）",V301="新加算Ⅴ（13）",V301="新加算Ⅴ（14）"),IF(AL301="○","","未入力"),"")</f>
        <v/>
      </c>
      <c r="BC301" s="1321" t="str">
        <f>IF(OR(V301="新加算Ⅰ",V301="新加算Ⅱ",V301="新加算Ⅲ",V301="新加算Ⅴ（１）",V301="新加算Ⅴ（３）",V301="新加算Ⅴ（８）"),IF(AM301="○","","未入力"),"")</f>
        <v/>
      </c>
      <c r="BD301" s="1588"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493" t="str">
        <f>IF(AND(U301&lt;&gt;"（参考）令和７年度の移行予定",OR(V301="新加算Ⅰ",V301="新加算Ⅴ（１）",V301="新加算Ⅴ（２）",V301="新加算Ⅴ（５）",V301="新加算Ⅴ（７）",V301="新加算Ⅴ（10）")),IF(AO301="","未入力",IF(AO301="いずれも取得していない","要件を満たさない","")),"")</f>
        <v/>
      </c>
      <c r="BF301" s="1493" t="str">
        <f>G298</f>
        <v/>
      </c>
      <c r="BG301" s="1493"/>
      <c r="BH301" s="1493"/>
    </row>
    <row r="302" spans="1:60" ht="30" customHeight="1">
      <c r="A302" s="1225">
        <v>73</v>
      </c>
      <c r="B302" s="1272" t="str">
        <f>IF(基本情報入力シート!C126="","",基本情報入力シート!C126)</f>
        <v/>
      </c>
      <c r="C302" s="1261"/>
      <c r="D302" s="1261"/>
      <c r="E302" s="1261"/>
      <c r="F302" s="1262"/>
      <c r="G302" s="1266" t="str">
        <f>IF(基本情報入力シート!M126="","",基本情報入力シート!M126)</f>
        <v/>
      </c>
      <c r="H302" s="1266" t="str">
        <f>IF(基本情報入力シート!R126="","",基本情報入力シート!R126)</f>
        <v/>
      </c>
      <c r="I302" s="1266" t="str">
        <f>IF(基本情報入力シート!W126="","",基本情報入力シート!W126)</f>
        <v/>
      </c>
      <c r="J302" s="1372" t="str">
        <f>IF(基本情報入力シート!X126="","",基本情報入力シート!X126)</f>
        <v/>
      </c>
      <c r="K302" s="1266" t="str">
        <f>IF(基本情報入力シート!Y126="","",基本情報入力シート!Y126)</f>
        <v/>
      </c>
      <c r="L302" s="1451" t="str">
        <f>IF(基本情報入力シート!AB126="","",基本情報入力シート!AB126)</f>
        <v/>
      </c>
      <c r="M302" s="1453" t="str">
        <f>IF(基本情報入力シート!AC126="","",基本情報入力シート!AC126)</f>
        <v/>
      </c>
      <c r="N302" s="647" t="str">
        <f>IF('別紙様式2-2（４・５月分）'!Q230="","",'別紙様式2-2（４・５月分）'!Q230)</f>
        <v/>
      </c>
      <c r="O302" s="1366" t="str">
        <f>IF(SUM('別紙様式2-2（４・５月分）'!R230:R232)=0,"",SUM('別紙様式2-2（４・５月分）'!R230:R232))</f>
        <v/>
      </c>
      <c r="P302" s="1380" t="str">
        <f>IFERROR(VLOOKUP('別紙様式2-2（４・５月分）'!AR230,【参考】数式用!$AT$5:$AU$22,2,FALSE),"")</f>
        <v/>
      </c>
      <c r="Q302" s="1381"/>
      <c r="R302" s="1382"/>
      <c r="S302" s="1392" t="str">
        <f>IFERROR(VLOOKUP(K302,【参考】数式用!$A$5:$AB$27,MATCH(P302,【参考】数式用!$B$4:$AB$4,0)+1,0),"")</f>
        <v/>
      </c>
      <c r="T302" s="1413" t="s">
        <v>2258</v>
      </c>
      <c r="U302" s="1562" t="str">
        <f>IF('別紙様式2-3（６月以降分）'!U302="","",'別紙様式2-3（６月以降分）'!U302)</f>
        <v/>
      </c>
      <c r="V302" s="1457" t="str">
        <f>IFERROR(VLOOKUP(K302,【参考】数式用!$A$5:$AB$27,MATCH(U302,【参考】数式用!$B$4:$AB$4,0)+1,0),"")</f>
        <v/>
      </c>
      <c r="W302" s="1350" t="s">
        <v>19</v>
      </c>
      <c r="X302" s="1534">
        <f>'別紙様式2-3（６月以降分）'!X302</f>
        <v>6</v>
      </c>
      <c r="Y302" s="1354" t="s">
        <v>10</v>
      </c>
      <c r="Z302" s="1534">
        <f>'別紙様式2-3（６月以降分）'!Z302</f>
        <v>6</v>
      </c>
      <c r="AA302" s="1354" t="s">
        <v>45</v>
      </c>
      <c r="AB302" s="1534">
        <f>'別紙様式2-3（６月以降分）'!AB302</f>
        <v>7</v>
      </c>
      <c r="AC302" s="1354" t="s">
        <v>10</v>
      </c>
      <c r="AD302" s="1534">
        <f>'別紙様式2-3（６月以降分）'!AD302</f>
        <v>3</v>
      </c>
      <c r="AE302" s="1354" t="s">
        <v>2172</v>
      </c>
      <c r="AF302" s="1354" t="s">
        <v>24</v>
      </c>
      <c r="AG302" s="1354">
        <f>IF(X302&gt;=1,(AB302*12+AD302)-(X302*12+Z302)+1,"")</f>
        <v>10</v>
      </c>
      <c r="AH302" s="1360" t="s">
        <v>38</v>
      </c>
      <c r="AI302" s="1481" t="str">
        <f>'別紙様式2-3（６月以降分）'!AI302</f>
        <v/>
      </c>
      <c r="AJ302" s="1542" t="str">
        <f>'別紙様式2-3（６月以降分）'!AJ302</f>
        <v/>
      </c>
      <c r="AK302" s="1538">
        <f>'別紙様式2-3（６月以降分）'!AK302</f>
        <v>0</v>
      </c>
      <c r="AL302" s="1540" t="str">
        <f>IF('別紙様式2-3（６月以降分）'!AL302="","",'別紙様式2-3（６月以降分）'!AL302)</f>
        <v/>
      </c>
      <c r="AM302" s="1571">
        <f>'別紙様式2-3（６月以降分）'!AM302</f>
        <v>0</v>
      </c>
      <c r="AN302" s="1573" t="str">
        <f>IF('別紙様式2-3（６月以降分）'!AN302="","",'別紙様式2-3（６月以降分）'!AN302)</f>
        <v/>
      </c>
      <c r="AO302" s="1403" t="str">
        <f>IF('別紙様式2-3（６月以降分）'!AO302="","",'別紙様式2-3（６月以降分）'!AO302)</f>
        <v/>
      </c>
      <c r="AP302" s="1502" t="str">
        <f>IF('別紙様式2-3（６月以降分）'!AP302="","",'別紙様式2-3（６月以降分）'!AP302)</f>
        <v/>
      </c>
      <c r="AQ302" s="1403" t="str">
        <f>IF('別紙様式2-3（６月以降分）'!AQ302="","",'別紙様式2-3（６月以降分）'!AQ302)</f>
        <v/>
      </c>
      <c r="AR302" s="1583" t="str">
        <f>IF('別紙様式2-3（６月以降分）'!AR302="","",'別紙様式2-3（６月以降分）'!AR302)</f>
        <v/>
      </c>
      <c r="AS302" s="1536" t="str">
        <f>IF('別紙様式2-3（６月以降分）'!AS302="","",'別紙様式2-3（６月以降分）'!AS302)</f>
        <v/>
      </c>
      <c r="AT302" s="667" t="str">
        <f t="shared" ref="AT302" si="352">IF(AV304="","",IF(V304&lt;V302,"！加算の要件上は問題ありませんが、令和６年度当初の新加算の加算率と比較して、移行後の加算率が下がる計画になっています。",""))</f>
        <v/>
      </c>
      <c r="AU302" s="674"/>
      <c r="AV302" s="1233"/>
      <c r="AW302" s="652" t="str">
        <f>IF('別紙様式2-2（４・５月分）'!O230="","",'別紙様式2-2（４・５月分）'!O230)</f>
        <v/>
      </c>
      <c r="AX302" s="1507" t="str">
        <f>IF(SUM('別紙様式2-2（４・５月分）'!P230:P232)=0,"",SUM('別紙様式2-2（４・５月分）'!P230:P232))</f>
        <v/>
      </c>
      <c r="AY302" s="1590" t="str">
        <f>IFERROR(VLOOKUP(K302,【参考】数式用!$AJ$2:$AK$24,2,FALSE),"")</f>
        <v/>
      </c>
      <c r="AZ302" s="584"/>
      <c r="BE302" s="428"/>
      <c r="BF302" s="1493" t="str">
        <f>G302</f>
        <v/>
      </c>
      <c r="BG302" s="1493"/>
      <c r="BH302" s="1493"/>
    </row>
    <row r="303" spans="1:60" ht="15" customHeight="1">
      <c r="A303" s="1226"/>
      <c r="B303" s="1272"/>
      <c r="C303" s="1261"/>
      <c r="D303" s="1261"/>
      <c r="E303" s="1261"/>
      <c r="F303" s="1262"/>
      <c r="G303" s="1266"/>
      <c r="H303" s="1266"/>
      <c r="I303" s="1266"/>
      <c r="J303" s="1372"/>
      <c r="K303" s="1266"/>
      <c r="L303" s="1451"/>
      <c r="M303" s="1453"/>
      <c r="N303" s="1370" t="str">
        <f>IF('別紙様式2-2（４・５月分）'!Q231="","",'別紙様式2-2（４・５月分）'!Q231)</f>
        <v/>
      </c>
      <c r="O303" s="1367"/>
      <c r="P303" s="1383"/>
      <c r="Q303" s="1384"/>
      <c r="R303" s="1385"/>
      <c r="S303" s="1393"/>
      <c r="T303" s="1414"/>
      <c r="U303" s="1563"/>
      <c r="V303" s="1458"/>
      <c r="W303" s="1351"/>
      <c r="X303" s="1535"/>
      <c r="Y303" s="1355"/>
      <c r="Z303" s="1535"/>
      <c r="AA303" s="1355"/>
      <c r="AB303" s="1535"/>
      <c r="AC303" s="1355"/>
      <c r="AD303" s="1535"/>
      <c r="AE303" s="1355"/>
      <c r="AF303" s="1355"/>
      <c r="AG303" s="1355"/>
      <c r="AH303" s="1361"/>
      <c r="AI303" s="1482"/>
      <c r="AJ303" s="1543"/>
      <c r="AK303" s="1539"/>
      <c r="AL303" s="1541"/>
      <c r="AM303" s="1572"/>
      <c r="AN303" s="1574"/>
      <c r="AO303" s="1404"/>
      <c r="AP303" s="1533"/>
      <c r="AQ303" s="1404"/>
      <c r="AR303" s="1584"/>
      <c r="AS303" s="1537"/>
      <c r="AT303" s="1532" t="str">
        <f t="shared" ref="AT303" si="353">IF(AV304="","",IF(OR(AB304="",AB304&lt;&gt;7,AD304="",AD304&lt;&gt;3),"！算定期間の終わりが令和７年３月になっていません。年度内の廃止予定等がなければ、算定対象月を令和７年３月にしてください。",""))</f>
        <v/>
      </c>
      <c r="AU303" s="674"/>
      <c r="AV303" s="1493"/>
      <c r="AW303" s="1518" t="str">
        <f>IF('別紙様式2-2（４・５月分）'!O231="","",'別紙様式2-2（４・５月分）'!O231)</f>
        <v/>
      </c>
      <c r="AX303" s="1507"/>
      <c r="AY303" s="1589"/>
      <c r="AZ303" s="521"/>
      <c r="BE303" s="428"/>
      <c r="BF303" s="1493" t="str">
        <f>G302</f>
        <v/>
      </c>
      <c r="BG303" s="1493"/>
      <c r="BH303" s="1493"/>
    </row>
    <row r="304" spans="1:60" ht="15" customHeight="1">
      <c r="A304" s="1240"/>
      <c r="B304" s="1272"/>
      <c r="C304" s="1261"/>
      <c r="D304" s="1261"/>
      <c r="E304" s="1261"/>
      <c r="F304" s="1262"/>
      <c r="G304" s="1266"/>
      <c r="H304" s="1266"/>
      <c r="I304" s="1266"/>
      <c r="J304" s="1372"/>
      <c r="K304" s="1266"/>
      <c r="L304" s="1451"/>
      <c r="M304" s="1453"/>
      <c r="N304" s="1371"/>
      <c r="O304" s="1368"/>
      <c r="P304" s="1390" t="s">
        <v>2179</v>
      </c>
      <c r="Q304" s="1504" t="str">
        <f>IFERROR(VLOOKUP('別紙様式2-2（４・５月分）'!AR230,【参考】数式用!$AT$5:$AV$22,3,FALSE),"")</f>
        <v/>
      </c>
      <c r="R304" s="1388" t="s">
        <v>2190</v>
      </c>
      <c r="S304" s="1394" t="str">
        <f>IFERROR(VLOOKUP(K302,【参考】数式用!$A$5:$AB$27,MATCH(Q304,【参考】数式用!$B$4:$AB$4,0)+1,0),"")</f>
        <v/>
      </c>
      <c r="T304" s="1459" t="s">
        <v>2267</v>
      </c>
      <c r="U304" s="1569"/>
      <c r="V304" s="1463" t="str">
        <f>IFERROR(VLOOKUP(K302,【参考】数式用!$A$5:$AB$27,MATCH(U304,【参考】数式用!$B$4:$AB$4,0)+1,0),"")</f>
        <v/>
      </c>
      <c r="W304" s="1465" t="s">
        <v>19</v>
      </c>
      <c r="X304" s="1564"/>
      <c r="Y304" s="1407" t="s">
        <v>10</v>
      </c>
      <c r="Z304" s="1564"/>
      <c r="AA304" s="1407" t="s">
        <v>45</v>
      </c>
      <c r="AB304" s="1564"/>
      <c r="AC304" s="1407" t="s">
        <v>10</v>
      </c>
      <c r="AD304" s="1564"/>
      <c r="AE304" s="1407" t="s">
        <v>2172</v>
      </c>
      <c r="AF304" s="1407" t="s">
        <v>24</v>
      </c>
      <c r="AG304" s="1407" t="str">
        <f>IF(X304&gt;=1,(AB304*12+AD304)-(X304*12+Z304)+1,"")</f>
        <v/>
      </c>
      <c r="AH304" s="1409" t="s">
        <v>38</v>
      </c>
      <c r="AI304" s="1411" t="str">
        <f t="shared" ref="AI304" si="354">IFERROR(ROUNDDOWN(ROUND(L302*V304,0)*M302,0)*AG304,"")</f>
        <v/>
      </c>
      <c r="AJ304" s="1577" t="str">
        <f>IFERROR(ROUNDDOWN(ROUND((L302*(V304-AX302)),0)*M302,0)*AG304,"")</f>
        <v/>
      </c>
      <c r="AK304" s="1494" t="str">
        <f>IFERROR(ROUNDDOWN(ROUNDDOWN(ROUND(L302*VLOOKUP(K302,【参考】数式用!$A$5:$AB$27,MATCH("新加算Ⅳ",【参考】数式用!$B$4:$AB$4,0)+1,0),0)*M302,0)*AG304*0.5,0),"")</f>
        <v/>
      </c>
      <c r="AL304" s="1579"/>
      <c r="AM304" s="1585" t="str">
        <f>IFERROR(IF('別紙様式2-2（４・５月分）'!Q232="ベア加算","", IF(OR(U304="新加算Ⅰ",U304="新加算Ⅱ",U304="新加算Ⅲ",U304="新加算Ⅳ"),ROUNDDOWN(ROUND(L302*VLOOKUP(K302,【参考】数式用!$A$5:$I$27,MATCH("ベア加算",【参考】数式用!$B$4:$I$4,0)+1,0),0)*M302,0)*AG304,"")),"")</f>
        <v/>
      </c>
      <c r="AN304" s="1548"/>
      <c r="AO304" s="1554"/>
      <c r="AP304" s="1552"/>
      <c r="AQ304" s="1554"/>
      <c r="AR304" s="1556"/>
      <c r="AS304" s="1558"/>
      <c r="AT304" s="1532"/>
      <c r="AU304" s="542"/>
      <c r="AV304" s="1493" t="str">
        <f t="shared" ref="AV304" si="355">IF(OR(AB302&lt;&gt;7,AD302&lt;&gt;3),"V列に色付け","")</f>
        <v/>
      </c>
      <c r="AW304" s="1518"/>
      <c r="AX304" s="1507"/>
      <c r="AY304" s="671"/>
      <c r="AZ304" s="1321" t="str">
        <f>IF(AM304&lt;&gt;"",IF(AN304="○","入力済","未入力"),"")</f>
        <v/>
      </c>
      <c r="BA304" s="1321"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321" t="str">
        <f>IF(OR(U304="新加算Ⅴ（７）",U304="新加算Ⅴ（９）",U304="新加算Ⅴ（10）",U304="新加算Ⅴ（12）",U304="新加算Ⅴ（13）",U304="新加算Ⅴ（14）"),IF(OR(AP304="○",AP304="令和６年度中に満たす"),"入力済","未入力"),"")</f>
        <v/>
      </c>
      <c r="BC304" s="1321" t="str">
        <f>IF(OR(U304="新加算Ⅰ",U304="新加算Ⅱ",U304="新加算Ⅲ",U304="新加算Ⅴ（１）",U304="新加算Ⅴ（３）",U304="新加算Ⅴ（８）"),IF(OR(AQ304="○",AQ304="令和６年度中に満たす"),"入力済","未入力"),"")</f>
        <v/>
      </c>
      <c r="BD304" s="1588"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493" t="str">
        <f>IF(OR(U304="新加算Ⅰ",U304="新加算Ⅴ（１）",U304="新加算Ⅴ（２）",U304="新加算Ⅴ（５）",U304="新加算Ⅴ（７）",U304="新加算Ⅴ（10）"),IF(AS304="","未入力","入力済"),"")</f>
        <v/>
      </c>
      <c r="BF304" s="1493" t="str">
        <f>G302</f>
        <v/>
      </c>
      <c r="BG304" s="1493"/>
      <c r="BH304" s="1493"/>
    </row>
    <row r="305" spans="1:60" ht="30" customHeight="1" thickBot="1">
      <c r="A305" s="1227"/>
      <c r="B305" s="1376"/>
      <c r="C305" s="1377"/>
      <c r="D305" s="1377"/>
      <c r="E305" s="1377"/>
      <c r="F305" s="1378"/>
      <c r="G305" s="1267"/>
      <c r="H305" s="1267"/>
      <c r="I305" s="1267"/>
      <c r="J305" s="1373"/>
      <c r="K305" s="1267"/>
      <c r="L305" s="1452"/>
      <c r="M305" s="1454"/>
      <c r="N305" s="650" t="str">
        <f>IF('別紙様式2-2（４・５月分）'!Q232="","",'別紙様式2-2（４・５月分）'!Q232)</f>
        <v/>
      </c>
      <c r="O305" s="1369"/>
      <c r="P305" s="1391"/>
      <c r="Q305" s="1505"/>
      <c r="R305" s="1389"/>
      <c r="S305" s="1395"/>
      <c r="T305" s="1460"/>
      <c r="U305" s="1570"/>
      <c r="V305" s="1464"/>
      <c r="W305" s="1466"/>
      <c r="X305" s="1565"/>
      <c r="Y305" s="1408"/>
      <c r="Z305" s="1565"/>
      <c r="AA305" s="1408"/>
      <c r="AB305" s="1565"/>
      <c r="AC305" s="1408"/>
      <c r="AD305" s="1565"/>
      <c r="AE305" s="1408"/>
      <c r="AF305" s="1408"/>
      <c r="AG305" s="1408"/>
      <c r="AH305" s="1410"/>
      <c r="AI305" s="1412"/>
      <c r="AJ305" s="1578"/>
      <c r="AK305" s="1495"/>
      <c r="AL305" s="1580"/>
      <c r="AM305" s="1586"/>
      <c r="AN305" s="1549"/>
      <c r="AO305" s="1555"/>
      <c r="AP305" s="1553"/>
      <c r="AQ305" s="1555"/>
      <c r="AR305" s="1557"/>
      <c r="AS305" s="1559"/>
      <c r="AT305" s="672" t="str">
        <f t="shared" ref="AT305" si="356">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42"/>
      <c r="AV305" s="1493"/>
      <c r="AW305" s="652" t="str">
        <f>IF('別紙様式2-2（４・５月分）'!O232="","",'別紙様式2-2（４・５月分）'!O232)</f>
        <v/>
      </c>
      <c r="AX305" s="1507"/>
      <c r="AY305" s="673"/>
      <c r="AZ305" s="1321" t="str">
        <f>IF(OR(U305="新加算Ⅰ",U305="新加算Ⅱ",U305="新加算Ⅲ",U305="新加算Ⅳ",U305="新加算Ⅴ（１）",U305="新加算Ⅴ（２）",U305="新加算Ⅴ（３）",U305="新加算ⅠⅤ（４）",U305="新加算Ⅴ（５）",U305="新加算Ⅴ（６）",U305="新加算Ⅴ（８）",U305="新加算Ⅴ（11）"),IF(AJ305="○","","未入力"),"")</f>
        <v/>
      </c>
      <c r="BA305" s="1321" t="str">
        <f>IF(OR(V305="新加算Ⅰ",V305="新加算Ⅱ",V305="新加算Ⅲ",V305="新加算Ⅳ",V305="新加算Ⅴ（１）",V305="新加算Ⅴ（２）",V305="新加算Ⅴ（３）",V305="新加算ⅠⅤ（４）",V305="新加算Ⅴ（５）",V305="新加算Ⅴ（６）",V305="新加算Ⅴ（８）",V305="新加算Ⅴ（11）"),IF(AK305="○","","未入力"),"")</f>
        <v/>
      </c>
      <c r="BB305" s="1321" t="str">
        <f>IF(OR(V305="新加算Ⅴ（７）",V305="新加算Ⅴ（９）",V305="新加算Ⅴ（10）",V305="新加算Ⅴ（12）",V305="新加算Ⅴ（13）",V305="新加算Ⅴ（14）"),IF(AL305="○","","未入力"),"")</f>
        <v/>
      </c>
      <c r="BC305" s="1321" t="str">
        <f>IF(OR(V305="新加算Ⅰ",V305="新加算Ⅱ",V305="新加算Ⅲ",V305="新加算Ⅴ（１）",V305="新加算Ⅴ（３）",V305="新加算Ⅴ（８）"),IF(AM305="○","","未入力"),"")</f>
        <v/>
      </c>
      <c r="BD305" s="1588"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493" t="str">
        <f>IF(AND(U305&lt;&gt;"（参考）令和７年度の移行予定",OR(V305="新加算Ⅰ",V305="新加算Ⅴ（１）",V305="新加算Ⅴ（２）",V305="新加算Ⅴ（５）",V305="新加算Ⅴ（７）",V305="新加算Ⅴ（10）")),IF(AO305="","未入力",IF(AO305="いずれも取得していない","要件を満たさない","")),"")</f>
        <v/>
      </c>
      <c r="BF305" s="1493" t="str">
        <f>G302</f>
        <v/>
      </c>
      <c r="BG305" s="1493"/>
      <c r="BH305" s="1493"/>
    </row>
    <row r="306" spans="1:60" ht="30" customHeight="1">
      <c r="A306" s="1241">
        <v>74</v>
      </c>
      <c r="B306" s="1272" t="str">
        <f>IF(基本情報入力シート!C127="","",基本情報入力シート!C127)</f>
        <v/>
      </c>
      <c r="C306" s="1261"/>
      <c r="D306" s="1261"/>
      <c r="E306" s="1261"/>
      <c r="F306" s="1262"/>
      <c r="G306" s="1266" t="str">
        <f>IF(基本情報入力シート!M127="","",基本情報入力シート!M127)</f>
        <v/>
      </c>
      <c r="H306" s="1266" t="str">
        <f>IF(基本情報入力シート!R127="","",基本情報入力シート!R127)</f>
        <v/>
      </c>
      <c r="I306" s="1266" t="str">
        <f>IF(基本情報入力シート!W127="","",基本情報入力シート!W127)</f>
        <v/>
      </c>
      <c r="J306" s="1372" t="str">
        <f>IF(基本情報入力シート!X127="","",基本情報入力シート!X127)</f>
        <v/>
      </c>
      <c r="K306" s="1266" t="str">
        <f>IF(基本情報入力シート!Y127="","",基本情報入力シート!Y127)</f>
        <v/>
      </c>
      <c r="L306" s="1451" t="str">
        <f>IF(基本情報入力シート!AB127="","",基本情報入力シート!AB127)</f>
        <v/>
      </c>
      <c r="M306" s="1453" t="str">
        <f>IF(基本情報入力シート!AC127="","",基本情報入力シート!AC127)</f>
        <v/>
      </c>
      <c r="N306" s="647" t="str">
        <f>IF('別紙様式2-2（４・５月分）'!Q233="","",'別紙様式2-2（４・５月分）'!Q233)</f>
        <v/>
      </c>
      <c r="O306" s="1366" t="str">
        <f>IF(SUM('別紙様式2-2（４・５月分）'!R233:R235)=0,"",SUM('別紙様式2-2（４・５月分）'!R233:R235))</f>
        <v/>
      </c>
      <c r="P306" s="1380" t="str">
        <f>IFERROR(VLOOKUP('別紙様式2-2（４・５月分）'!AR233,【参考】数式用!$AT$5:$AU$22,2,FALSE),"")</f>
        <v/>
      </c>
      <c r="Q306" s="1381"/>
      <c r="R306" s="1382"/>
      <c r="S306" s="1392" t="str">
        <f>IFERROR(VLOOKUP(K306,【参考】数式用!$A$5:$AB$27,MATCH(P306,【参考】数式用!$B$4:$AB$4,0)+1,0),"")</f>
        <v/>
      </c>
      <c r="T306" s="1413" t="s">
        <v>2258</v>
      </c>
      <c r="U306" s="1562" t="str">
        <f>IF('別紙様式2-3（６月以降分）'!U306="","",'別紙様式2-3（６月以降分）'!U306)</f>
        <v/>
      </c>
      <c r="V306" s="1457" t="str">
        <f>IFERROR(VLOOKUP(K306,【参考】数式用!$A$5:$AB$27,MATCH(U306,【参考】数式用!$B$4:$AB$4,0)+1,0),"")</f>
        <v/>
      </c>
      <c r="W306" s="1350" t="s">
        <v>19</v>
      </c>
      <c r="X306" s="1534">
        <f>'別紙様式2-3（６月以降分）'!X306</f>
        <v>6</v>
      </c>
      <c r="Y306" s="1354" t="s">
        <v>10</v>
      </c>
      <c r="Z306" s="1534">
        <f>'別紙様式2-3（６月以降分）'!Z306</f>
        <v>6</v>
      </c>
      <c r="AA306" s="1354" t="s">
        <v>45</v>
      </c>
      <c r="AB306" s="1534">
        <f>'別紙様式2-3（６月以降分）'!AB306</f>
        <v>7</v>
      </c>
      <c r="AC306" s="1354" t="s">
        <v>10</v>
      </c>
      <c r="AD306" s="1534">
        <f>'別紙様式2-3（６月以降分）'!AD306</f>
        <v>3</v>
      </c>
      <c r="AE306" s="1354" t="s">
        <v>2172</v>
      </c>
      <c r="AF306" s="1354" t="s">
        <v>24</v>
      </c>
      <c r="AG306" s="1354">
        <f>IF(X306&gt;=1,(AB306*12+AD306)-(X306*12+Z306)+1,"")</f>
        <v>10</v>
      </c>
      <c r="AH306" s="1360" t="s">
        <v>38</v>
      </c>
      <c r="AI306" s="1481" t="str">
        <f>'別紙様式2-3（６月以降分）'!AI306</f>
        <v/>
      </c>
      <c r="AJ306" s="1542" t="str">
        <f>'別紙様式2-3（６月以降分）'!AJ306</f>
        <v/>
      </c>
      <c r="AK306" s="1538">
        <f>'別紙様式2-3（６月以降分）'!AK306</f>
        <v>0</v>
      </c>
      <c r="AL306" s="1540" t="str">
        <f>IF('別紙様式2-3（６月以降分）'!AL306="","",'別紙様式2-3（６月以降分）'!AL306)</f>
        <v/>
      </c>
      <c r="AM306" s="1571">
        <f>'別紙様式2-3（６月以降分）'!AM306</f>
        <v>0</v>
      </c>
      <c r="AN306" s="1573" t="str">
        <f>IF('別紙様式2-3（６月以降分）'!AN306="","",'別紙様式2-3（６月以降分）'!AN306)</f>
        <v/>
      </c>
      <c r="AO306" s="1403" t="str">
        <f>IF('別紙様式2-3（６月以降分）'!AO306="","",'別紙様式2-3（６月以降分）'!AO306)</f>
        <v/>
      </c>
      <c r="AP306" s="1502" t="str">
        <f>IF('別紙様式2-3（６月以降分）'!AP306="","",'別紙様式2-3（６月以降分）'!AP306)</f>
        <v/>
      </c>
      <c r="AQ306" s="1403" t="str">
        <f>IF('別紙様式2-3（６月以降分）'!AQ306="","",'別紙様式2-3（６月以降分）'!AQ306)</f>
        <v/>
      </c>
      <c r="AR306" s="1583" t="str">
        <f>IF('別紙様式2-3（６月以降分）'!AR306="","",'別紙様式2-3（６月以降分）'!AR306)</f>
        <v/>
      </c>
      <c r="AS306" s="1536" t="str">
        <f>IF('別紙様式2-3（６月以降分）'!AS306="","",'別紙様式2-3（６月以降分）'!AS306)</f>
        <v/>
      </c>
      <c r="AT306" s="667" t="str">
        <f t="shared" ref="AT306" si="357">IF(AV308="","",IF(V308&lt;V306,"！加算の要件上は問題ありませんが、令和６年度当初の新加算の加算率と比較して、移行後の加算率が下がる計画になっています。",""))</f>
        <v/>
      </c>
      <c r="AU306" s="674"/>
      <c r="AV306" s="1233"/>
      <c r="AW306" s="652" t="str">
        <f>IF('別紙様式2-2（４・５月分）'!O233="","",'別紙様式2-2（４・５月分）'!O233)</f>
        <v/>
      </c>
      <c r="AX306" s="1507" t="str">
        <f>IF(SUM('別紙様式2-2（４・５月分）'!P233:P235)=0,"",SUM('別紙様式2-2（４・５月分）'!P233:P235))</f>
        <v/>
      </c>
      <c r="AY306" s="1589" t="str">
        <f>IFERROR(VLOOKUP(K306,【参考】数式用!$AJ$2:$AK$24,2,FALSE),"")</f>
        <v/>
      </c>
      <c r="AZ306" s="584"/>
      <c r="BE306" s="428"/>
      <c r="BF306" s="1493" t="str">
        <f>G306</f>
        <v/>
      </c>
      <c r="BG306" s="1493"/>
      <c r="BH306" s="1493"/>
    </row>
    <row r="307" spans="1:60" ht="15" customHeight="1">
      <c r="A307" s="1226"/>
      <c r="B307" s="1272"/>
      <c r="C307" s="1261"/>
      <c r="D307" s="1261"/>
      <c r="E307" s="1261"/>
      <c r="F307" s="1262"/>
      <c r="G307" s="1266"/>
      <c r="H307" s="1266"/>
      <c r="I307" s="1266"/>
      <c r="J307" s="1372"/>
      <c r="K307" s="1266"/>
      <c r="L307" s="1451"/>
      <c r="M307" s="1453"/>
      <c r="N307" s="1370" t="str">
        <f>IF('別紙様式2-2（４・５月分）'!Q234="","",'別紙様式2-2（４・５月分）'!Q234)</f>
        <v/>
      </c>
      <c r="O307" s="1367"/>
      <c r="P307" s="1383"/>
      <c r="Q307" s="1384"/>
      <c r="R307" s="1385"/>
      <c r="S307" s="1393"/>
      <c r="T307" s="1414"/>
      <c r="U307" s="1563"/>
      <c r="V307" s="1458"/>
      <c r="W307" s="1351"/>
      <c r="X307" s="1535"/>
      <c r="Y307" s="1355"/>
      <c r="Z307" s="1535"/>
      <c r="AA307" s="1355"/>
      <c r="AB307" s="1535"/>
      <c r="AC307" s="1355"/>
      <c r="AD307" s="1535"/>
      <c r="AE307" s="1355"/>
      <c r="AF307" s="1355"/>
      <c r="AG307" s="1355"/>
      <c r="AH307" s="1361"/>
      <c r="AI307" s="1482"/>
      <c r="AJ307" s="1543"/>
      <c r="AK307" s="1539"/>
      <c r="AL307" s="1541"/>
      <c r="AM307" s="1572"/>
      <c r="AN307" s="1574"/>
      <c r="AO307" s="1404"/>
      <c r="AP307" s="1533"/>
      <c r="AQ307" s="1404"/>
      <c r="AR307" s="1584"/>
      <c r="AS307" s="1537"/>
      <c r="AT307" s="1532" t="str">
        <f t="shared" ref="AT307" si="358">IF(AV308="","",IF(OR(AB308="",AB308&lt;&gt;7,AD308="",AD308&lt;&gt;3),"！算定期間の終わりが令和７年３月になっていません。年度内の廃止予定等がなければ、算定対象月を令和７年３月にしてください。",""))</f>
        <v/>
      </c>
      <c r="AU307" s="674"/>
      <c r="AV307" s="1493"/>
      <c r="AW307" s="1518" t="str">
        <f>IF('別紙様式2-2（４・５月分）'!O234="","",'別紙様式2-2（４・５月分）'!O234)</f>
        <v/>
      </c>
      <c r="AX307" s="1507"/>
      <c r="AY307" s="1589"/>
      <c r="AZ307" s="521"/>
      <c r="BE307" s="428"/>
      <c r="BF307" s="1493" t="str">
        <f>G306</f>
        <v/>
      </c>
      <c r="BG307" s="1493"/>
      <c r="BH307" s="1493"/>
    </row>
    <row r="308" spans="1:60" ht="15" customHeight="1">
      <c r="A308" s="1240"/>
      <c r="B308" s="1272"/>
      <c r="C308" s="1261"/>
      <c r="D308" s="1261"/>
      <c r="E308" s="1261"/>
      <c r="F308" s="1262"/>
      <c r="G308" s="1266"/>
      <c r="H308" s="1266"/>
      <c r="I308" s="1266"/>
      <c r="J308" s="1372"/>
      <c r="K308" s="1266"/>
      <c r="L308" s="1451"/>
      <c r="M308" s="1453"/>
      <c r="N308" s="1371"/>
      <c r="O308" s="1368"/>
      <c r="P308" s="1390" t="s">
        <v>2179</v>
      </c>
      <c r="Q308" s="1504" t="str">
        <f>IFERROR(VLOOKUP('別紙様式2-2（４・５月分）'!AR233,【参考】数式用!$AT$5:$AV$22,3,FALSE),"")</f>
        <v/>
      </c>
      <c r="R308" s="1388" t="s">
        <v>2190</v>
      </c>
      <c r="S308" s="1394" t="str">
        <f>IFERROR(VLOOKUP(K306,【参考】数式用!$A$5:$AB$27,MATCH(Q308,【参考】数式用!$B$4:$AB$4,0)+1,0),"")</f>
        <v/>
      </c>
      <c r="T308" s="1459" t="s">
        <v>2267</v>
      </c>
      <c r="U308" s="1569"/>
      <c r="V308" s="1463" t="str">
        <f>IFERROR(VLOOKUP(K306,【参考】数式用!$A$5:$AB$27,MATCH(U308,【参考】数式用!$B$4:$AB$4,0)+1,0),"")</f>
        <v/>
      </c>
      <c r="W308" s="1465" t="s">
        <v>19</v>
      </c>
      <c r="X308" s="1564"/>
      <c r="Y308" s="1407" t="s">
        <v>10</v>
      </c>
      <c r="Z308" s="1564"/>
      <c r="AA308" s="1407" t="s">
        <v>45</v>
      </c>
      <c r="AB308" s="1564"/>
      <c r="AC308" s="1407" t="s">
        <v>10</v>
      </c>
      <c r="AD308" s="1564"/>
      <c r="AE308" s="1407" t="s">
        <v>2172</v>
      </c>
      <c r="AF308" s="1407" t="s">
        <v>24</v>
      </c>
      <c r="AG308" s="1407" t="str">
        <f>IF(X308&gt;=1,(AB308*12+AD308)-(X308*12+Z308)+1,"")</f>
        <v/>
      </c>
      <c r="AH308" s="1409" t="s">
        <v>38</v>
      </c>
      <c r="AI308" s="1411" t="str">
        <f t="shared" ref="AI308" si="359">IFERROR(ROUNDDOWN(ROUND(L306*V308,0)*M306,0)*AG308,"")</f>
        <v/>
      </c>
      <c r="AJ308" s="1577" t="str">
        <f>IFERROR(ROUNDDOWN(ROUND((L306*(V308-AX306)),0)*M306,0)*AG308,"")</f>
        <v/>
      </c>
      <c r="AK308" s="1494" t="str">
        <f>IFERROR(ROUNDDOWN(ROUNDDOWN(ROUND(L306*VLOOKUP(K306,【参考】数式用!$A$5:$AB$27,MATCH("新加算Ⅳ",【参考】数式用!$B$4:$AB$4,0)+1,0),0)*M306,0)*AG308*0.5,0),"")</f>
        <v/>
      </c>
      <c r="AL308" s="1579"/>
      <c r="AM308" s="1585" t="str">
        <f>IFERROR(IF('別紙様式2-2（４・５月分）'!Q235="ベア加算","", IF(OR(U308="新加算Ⅰ",U308="新加算Ⅱ",U308="新加算Ⅲ",U308="新加算Ⅳ"),ROUNDDOWN(ROUND(L306*VLOOKUP(K306,【参考】数式用!$A$5:$I$27,MATCH("ベア加算",【参考】数式用!$B$4:$I$4,0)+1,0),0)*M306,0)*AG308,"")),"")</f>
        <v/>
      </c>
      <c r="AN308" s="1548"/>
      <c r="AO308" s="1554"/>
      <c r="AP308" s="1552"/>
      <c r="AQ308" s="1554"/>
      <c r="AR308" s="1556"/>
      <c r="AS308" s="1558"/>
      <c r="AT308" s="1532"/>
      <c r="AU308" s="542"/>
      <c r="AV308" s="1493" t="str">
        <f t="shared" ref="AV308" si="360">IF(OR(AB306&lt;&gt;7,AD306&lt;&gt;3),"V列に色付け","")</f>
        <v/>
      </c>
      <c r="AW308" s="1518"/>
      <c r="AX308" s="1507"/>
      <c r="AY308" s="671"/>
      <c r="AZ308" s="1321" t="str">
        <f>IF(AM308&lt;&gt;"",IF(AN308="○","入力済","未入力"),"")</f>
        <v/>
      </c>
      <c r="BA308" s="1321"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321" t="str">
        <f>IF(OR(U308="新加算Ⅴ（７）",U308="新加算Ⅴ（９）",U308="新加算Ⅴ（10）",U308="新加算Ⅴ（12）",U308="新加算Ⅴ（13）",U308="新加算Ⅴ（14）"),IF(OR(AP308="○",AP308="令和６年度中に満たす"),"入力済","未入力"),"")</f>
        <v/>
      </c>
      <c r="BC308" s="1321" t="str">
        <f>IF(OR(U308="新加算Ⅰ",U308="新加算Ⅱ",U308="新加算Ⅲ",U308="新加算Ⅴ（１）",U308="新加算Ⅴ（３）",U308="新加算Ⅴ（８）"),IF(OR(AQ308="○",AQ308="令和６年度中に満たす"),"入力済","未入力"),"")</f>
        <v/>
      </c>
      <c r="BD308" s="1588"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493" t="str">
        <f>IF(OR(U308="新加算Ⅰ",U308="新加算Ⅴ（１）",U308="新加算Ⅴ（２）",U308="新加算Ⅴ（５）",U308="新加算Ⅴ（７）",U308="新加算Ⅴ（10）"),IF(AS308="","未入力","入力済"),"")</f>
        <v/>
      </c>
      <c r="BF308" s="1493" t="str">
        <f>G306</f>
        <v/>
      </c>
      <c r="BG308" s="1493"/>
      <c r="BH308" s="1493"/>
    </row>
    <row r="309" spans="1:60" ht="30" customHeight="1" thickBot="1">
      <c r="A309" s="1227"/>
      <c r="B309" s="1376"/>
      <c r="C309" s="1377"/>
      <c r="D309" s="1377"/>
      <c r="E309" s="1377"/>
      <c r="F309" s="1378"/>
      <c r="G309" s="1267"/>
      <c r="H309" s="1267"/>
      <c r="I309" s="1267"/>
      <c r="J309" s="1373"/>
      <c r="K309" s="1267"/>
      <c r="L309" s="1452"/>
      <c r="M309" s="1454"/>
      <c r="N309" s="650" t="str">
        <f>IF('別紙様式2-2（４・５月分）'!Q235="","",'別紙様式2-2（４・５月分）'!Q235)</f>
        <v/>
      </c>
      <c r="O309" s="1369"/>
      <c r="P309" s="1391"/>
      <c r="Q309" s="1505"/>
      <c r="R309" s="1389"/>
      <c r="S309" s="1395"/>
      <c r="T309" s="1460"/>
      <c r="U309" s="1570"/>
      <c r="V309" s="1464"/>
      <c r="W309" s="1466"/>
      <c r="X309" s="1565"/>
      <c r="Y309" s="1408"/>
      <c r="Z309" s="1565"/>
      <c r="AA309" s="1408"/>
      <c r="AB309" s="1565"/>
      <c r="AC309" s="1408"/>
      <c r="AD309" s="1565"/>
      <c r="AE309" s="1408"/>
      <c r="AF309" s="1408"/>
      <c r="AG309" s="1408"/>
      <c r="AH309" s="1410"/>
      <c r="AI309" s="1412"/>
      <c r="AJ309" s="1578"/>
      <c r="AK309" s="1495"/>
      <c r="AL309" s="1580"/>
      <c r="AM309" s="1586"/>
      <c r="AN309" s="1549"/>
      <c r="AO309" s="1555"/>
      <c r="AP309" s="1553"/>
      <c r="AQ309" s="1555"/>
      <c r="AR309" s="1557"/>
      <c r="AS309" s="1559"/>
      <c r="AT309" s="672" t="str">
        <f t="shared" ref="AT309" si="361">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42"/>
      <c r="AV309" s="1493"/>
      <c r="AW309" s="652" t="str">
        <f>IF('別紙様式2-2（４・５月分）'!O235="","",'別紙様式2-2（４・５月分）'!O235)</f>
        <v/>
      </c>
      <c r="AX309" s="1507"/>
      <c r="AY309" s="673"/>
      <c r="AZ309" s="1321" t="str">
        <f>IF(OR(U309="新加算Ⅰ",U309="新加算Ⅱ",U309="新加算Ⅲ",U309="新加算Ⅳ",U309="新加算Ⅴ（１）",U309="新加算Ⅴ（２）",U309="新加算Ⅴ（３）",U309="新加算ⅠⅤ（４）",U309="新加算Ⅴ（５）",U309="新加算Ⅴ（６）",U309="新加算Ⅴ（８）",U309="新加算Ⅴ（11）"),IF(AJ309="○","","未入力"),"")</f>
        <v/>
      </c>
      <c r="BA309" s="1321" t="str">
        <f>IF(OR(V309="新加算Ⅰ",V309="新加算Ⅱ",V309="新加算Ⅲ",V309="新加算Ⅳ",V309="新加算Ⅴ（１）",V309="新加算Ⅴ（２）",V309="新加算Ⅴ（３）",V309="新加算ⅠⅤ（４）",V309="新加算Ⅴ（５）",V309="新加算Ⅴ（６）",V309="新加算Ⅴ（８）",V309="新加算Ⅴ（11）"),IF(AK309="○","","未入力"),"")</f>
        <v/>
      </c>
      <c r="BB309" s="1321" t="str">
        <f>IF(OR(V309="新加算Ⅴ（７）",V309="新加算Ⅴ（９）",V309="新加算Ⅴ（10）",V309="新加算Ⅴ（12）",V309="新加算Ⅴ（13）",V309="新加算Ⅴ（14）"),IF(AL309="○","","未入力"),"")</f>
        <v/>
      </c>
      <c r="BC309" s="1321" t="str">
        <f>IF(OR(V309="新加算Ⅰ",V309="新加算Ⅱ",V309="新加算Ⅲ",V309="新加算Ⅴ（１）",V309="新加算Ⅴ（３）",V309="新加算Ⅴ（８）"),IF(AM309="○","","未入力"),"")</f>
        <v/>
      </c>
      <c r="BD309" s="1588"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493" t="str">
        <f>IF(AND(U309&lt;&gt;"（参考）令和７年度の移行予定",OR(V309="新加算Ⅰ",V309="新加算Ⅴ（１）",V309="新加算Ⅴ（２）",V309="新加算Ⅴ（５）",V309="新加算Ⅴ（７）",V309="新加算Ⅴ（10）")),IF(AO309="","未入力",IF(AO309="いずれも取得していない","要件を満たさない","")),"")</f>
        <v/>
      </c>
      <c r="BF309" s="1493" t="str">
        <f>G306</f>
        <v/>
      </c>
      <c r="BG309" s="1493"/>
      <c r="BH309" s="1493"/>
    </row>
    <row r="310" spans="1:60" ht="30" customHeight="1">
      <c r="A310" s="1225">
        <v>75</v>
      </c>
      <c r="B310" s="1271" t="str">
        <f>IF(基本情報入力シート!C128="","",基本情報入力シート!C128)</f>
        <v/>
      </c>
      <c r="C310" s="1259"/>
      <c r="D310" s="1259"/>
      <c r="E310" s="1259"/>
      <c r="F310" s="1260"/>
      <c r="G310" s="1265" t="str">
        <f>IF(基本情報入力シート!M128="","",基本情報入力シート!M128)</f>
        <v/>
      </c>
      <c r="H310" s="1265" t="str">
        <f>IF(基本情報入力シート!R128="","",基本情報入力シート!R128)</f>
        <v/>
      </c>
      <c r="I310" s="1265" t="str">
        <f>IF(基本情報入力シート!W128="","",基本情報入力シート!W128)</f>
        <v/>
      </c>
      <c r="J310" s="1379" t="str">
        <f>IF(基本情報入力シート!X128="","",基本情報入力シート!X128)</f>
        <v/>
      </c>
      <c r="K310" s="1265" t="str">
        <f>IF(基本情報入力シート!Y128="","",基本情報入力シート!Y128)</f>
        <v/>
      </c>
      <c r="L310" s="1450" t="str">
        <f>IF(基本情報入力シート!AB128="","",基本情報入力シート!AB128)</f>
        <v/>
      </c>
      <c r="M310" s="1447" t="str">
        <f>IF(基本情報入力シート!AC128="","",基本情報入力シート!AC128)</f>
        <v/>
      </c>
      <c r="N310" s="647" t="str">
        <f>IF('別紙様式2-2（４・５月分）'!Q236="","",'別紙様式2-2（４・５月分）'!Q236)</f>
        <v/>
      </c>
      <c r="O310" s="1366" t="str">
        <f>IF(SUM('別紙様式2-2（４・５月分）'!R236:R238)=0,"",SUM('別紙様式2-2（４・５月分）'!R236:R238))</f>
        <v/>
      </c>
      <c r="P310" s="1380" t="str">
        <f>IFERROR(VLOOKUP('別紙様式2-2（４・５月分）'!AR236,【参考】数式用!$AT$5:$AU$22,2,FALSE),"")</f>
        <v/>
      </c>
      <c r="Q310" s="1381"/>
      <c r="R310" s="1382"/>
      <c r="S310" s="1392" t="str">
        <f>IFERROR(VLOOKUP(K310,【参考】数式用!$A$5:$AB$27,MATCH(P310,【参考】数式用!$B$4:$AB$4,0)+1,0),"")</f>
        <v/>
      </c>
      <c r="T310" s="1413" t="s">
        <v>2258</v>
      </c>
      <c r="U310" s="1562" t="str">
        <f>IF('別紙様式2-3（６月以降分）'!U310="","",'別紙様式2-3（６月以降分）'!U310)</f>
        <v/>
      </c>
      <c r="V310" s="1457" t="str">
        <f>IFERROR(VLOOKUP(K310,【参考】数式用!$A$5:$AB$27,MATCH(U310,【参考】数式用!$B$4:$AB$4,0)+1,0),"")</f>
        <v/>
      </c>
      <c r="W310" s="1350" t="s">
        <v>19</v>
      </c>
      <c r="X310" s="1534">
        <f>'別紙様式2-3（６月以降分）'!X310</f>
        <v>6</v>
      </c>
      <c r="Y310" s="1354" t="s">
        <v>10</v>
      </c>
      <c r="Z310" s="1534">
        <f>'別紙様式2-3（６月以降分）'!Z310</f>
        <v>6</v>
      </c>
      <c r="AA310" s="1354" t="s">
        <v>45</v>
      </c>
      <c r="AB310" s="1534">
        <f>'別紙様式2-3（６月以降分）'!AB310</f>
        <v>7</v>
      </c>
      <c r="AC310" s="1354" t="s">
        <v>10</v>
      </c>
      <c r="AD310" s="1534">
        <f>'別紙様式2-3（６月以降分）'!AD310</f>
        <v>3</v>
      </c>
      <c r="AE310" s="1354" t="s">
        <v>2172</v>
      </c>
      <c r="AF310" s="1354" t="s">
        <v>24</v>
      </c>
      <c r="AG310" s="1354">
        <f>IF(X310&gt;=1,(AB310*12+AD310)-(X310*12+Z310)+1,"")</f>
        <v>10</v>
      </c>
      <c r="AH310" s="1360" t="s">
        <v>38</v>
      </c>
      <c r="AI310" s="1481" t="str">
        <f>'別紙様式2-3（６月以降分）'!AI310</f>
        <v/>
      </c>
      <c r="AJ310" s="1542" t="str">
        <f>'別紙様式2-3（６月以降分）'!AJ310</f>
        <v/>
      </c>
      <c r="AK310" s="1538">
        <f>'別紙様式2-3（６月以降分）'!AK310</f>
        <v>0</v>
      </c>
      <c r="AL310" s="1540" t="str">
        <f>IF('別紙様式2-3（６月以降分）'!AL310="","",'別紙様式2-3（６月以降分）'!AL310)</f>
        <v/>
      </c>
      <c r="AM310" s="1571">
        <f>'別紙様式2-3（６月以降分）'!AM310</f>
        <v>0</v>
      </c>
      <c r="AN310" s="1573" t="str">
        <f>IF('別紙様式2-3（６月以降分）'!AN310="","",'別紙様式2-3（６月以降分）'!AN310)</f>
        <v/>
      </c>
      <c r="AO310" s="1403" t="str">
        <f>IF('別紙様式2-3（６月以降分）'!AO310="","",'別紙様式2-3（６月以降分）'!AO310)</f>
        <v/>
      </c>
      <c r="AP310" s="1502" t="str">
        <f>IF('別紙様式2-3（６月以降分）'!AP310="","",'別紙様式2-3（６月以降分）'!AP310)</f>
        <v/>
      </c>
      <c r="AQ310" s="1403" t="str">
        <f>IF('別紙様式2-3（６月以降分）'!AQ310="","",'別紙様式2-3（６月以降分）'!AQ310)</f>
        <v/>
      </c>
      <c r="AR310" s="1583" t="str">
        <f>IF('別紙様式2-3（６月以降分）'!AR310="","",'別紙様式2-3（６月以降分）'!AR310)</f>
        <v/>
      </c>
      <c r="AS310" s="1536" t="str">
        <f>IF('別紙様式2-3（６月以降分）'!AS310="","",'別紙様式2-3（６月以降分）'!AS310)</f>
        <v/>
      </c>
      <c r="AT310" s="667" t="str">
        <f t="shared" ref="AT310" si="362">IF(AV312="","",IF(V312&lt;V310,"！加算の要件上は問題ありませんが、令和６年度当初の新加算の加算率と比較して、移行後の加算率が下がる計画になっています。",""))</f>
        <v/>
      </c>
      <c r="AU310" s="674"/>
      <c r="AV310" s="1233"/>
      <c r="AW310" s="652" t="str">
        <f>IF('別紙様式2-2（４・５月分）'!O236="","",'別紙様式2-2（４・５月分）'!O236)</f>
        <v/>
      </c>
      <c r="AX310" s="1507" t="str">
        <f>IF(SUM('別紙様式2-2（４・５月分）'!P236:P238)=0,"",SUM('別紙様式2-2（４・５月分）'!P236:P238))</f>
        <v/>
      </c>
      <c r="AY310" s="1590" t="str">
        <f>IFERROR(VLOOKUP(K310,【参考】数式用!$AJ$2:$AK$24,2,FALSE),"")</f>
        <v/>
      </c>
      <c r="AZ310" s="584"/>
      <c r="BE310" s="428"/>
      <c r="BF310" s="1493" t="str">
        <f>G310</f>
        <v/>
      </c>
      <c r="BG310" s="1493"/>
      <c r="BH310" s="1493"/>
    </row>
    <row r="311" spans="1:60" ht="15" customHeight="1">
      <c r="A311" s="1226"/>
      <c r="B311" s="1272"/>
      <c r="C311" s="1261"/>
      <c r="D311" s="1261"/>
      <c r="E311" s="1261"/>
      <c r="F311" s="1262"/>
      <c r="G311" s="1266"/>
      <c r="H311" s="1266"/>
      <c r="I311" s="1266"/>
      <c r="J311" s="1372"/>
      <c r="K311" s="1266"/>
      <c r="L311" s="1451"/>
      <c r="M311" s="1448"/>
      <c r="N311" s="1370" t="str">
        <f>IF('別紙様式2-2（４・５月分）'!Q237="","",'別紙様式2-2（４・５月分）'!Q237)</f>
        <v/>
      </c>
      <c r="O311" s="1367"/>
      <c r="P311" s="1383"/>
      <c r="Q311" s="1384"/>
      <c r="R311" s="1385"/>
      <c r="S311" s="1393"/>
      <c r="T311" s="1414"/>
      <c r="U311" s="1563"/>
      <c r="V311" s="1458"/>
      <c r="W311" s="1351"/>
      <c r="X311" s="1535"/>
      <c r="Y311" s="1355"/>
      <c r="Z311" s="1535"/>
      <c r="AA311" s="1355"/>
      <c r="AB311" s="1535"/>
      <c r="AC311" s="1355"/>
      <c r="AD311" s="1535"/>
      <c r="AE311" s="1355"/>
      <c r="AF311" s="1355"/>
      <c r="AG311" s="1355"/>
      <c r="AH311" s="1361"/>
      <c r="AI311" s="1482"/>
      <c r="AJ311" s="1543"/>
      <c r="AK311" s="1539"/>
      <c r="AL311" s="1541"/>
      <c r="AM311" s="1572"/>
      <c r="AN311" s="1574"/>
      <c r="AO311" s="1404"/>
      <c r="AP311" s="1533"/>
      <c r="AQ311" s="1404"/>
      <c r="AR311" s="1584"/>
      <c r="AS311" s="1537"/>
      <c r="AT311" s="1532" t="str">
        <f t="shared" ref="AT311" si="363">IF(AV312="","",IF(OR(AB312="",AB312&lt;&gt;7,AD312="",AD312&lt;&gt;3),"！算定期間の終わりが令和７年３月になっていません。年度内の廃止予定等がなければ、算定対象月を令和７年３月にしてください。",""))</f>
        <v/>
      </c>
      <c r="AU311" s="674"/>
      <c r="AV311" s="1493"/>
      <c r="AW311" s="1518" t="str">
        <f>IF('別紙様式2-2（４・５月分）'!O237="","",'別紙様式2-2（４・５月分）'!O237)</f>
        <v/>
      </c>
      <c r="AX311" s="1507"/>
      <c r="AY311" s="1589"/>
      <c r="AZ311" s="521"/>
      <c r="BE311" s="428"/>
      <c r="BF311" s="1493" t="str">
        <f>G310</f>
        <v/>
      </c>
      <c r="BG311" s="1493"/>
      <c r="BH311" s="1493"/>
    </row>
    <row r="312" spans="1:60" ht="15" customHeight="1">
      <c r="A312" s="1240"/>
      <c r="B312" s="1272"/>
      <c r="C312" s="1261"/>
      <c r="D312" s="1261"/>
      <c r="E312" s="1261"/>
      <c r="F312" s="1262"/>
      <c r="G312" s="1266"/>
      <c r="H312" s="1266"/>
      <c r="I312" s="1266"/>
      <c r="J312" s="1372"/>
      <c r="K312" s="1266"/>
      <c r="L312" s="1451"/>
      <c r="M312" s="1448"/>
      <c r="N312" s="1371"/>
      <c r="O312" s="1368"/>
      <c r="P312" s="1390" t="s">
        <v>2179</v>
      </c>
      <c r="Q312" s="1504" t="str">
        <f>IFERROR(VLOOKUP('別紙様式2-2（４・５月分）'!AR236,【参考】数式用!$AT$5:$AV$22,3,FALSE),"")</f>
        <v/>
      </c>
      <c r="R312" s="1388" t="s">
        <v>2190</v>
      </c>
      <c r="S312" s="1396" t="str">
        <f>IFERROR(VLOOKUP(K310,【参考】数式用!$A$5:$AB$27,MATCH(Q312,【参考】数式用!$B$4:$AB$4,0)+1,0),"")</f>
        <v/>
      </c>
      <c r="T312" s="1459" t="s">
        <v>2267</v>
      </c>
      <c r="U312" s="1569"/>
      <c r="V312" s="1463" t="str">
        <f>IFERROR(VLOOKUP(K310,【参考】数式用!$A$5:$AB$27,MATCH(U312,【参考】数式用!$B$4:$AB$4,0)+1,0),"")</f>
        <v/>
      </c>
      <c r="W312" s="1465" t="s">
        <v>19</v>
      </c>
      <c r="X312" s="1564"/>
      <c r="Y312" s="1407" t="s">
        <v>10</v>
      </c>
      <c r="Z312" s="1564"/>
      <c r="AA312" s="1407" t="s">
        <v>45</v>
      </c>
      <c r="AB312" s="1564"/>
      <c r="AC312" s="1407" t="s">
        <v>10</v>
      </c>
      <c r="AD312" s="1564"/>
      <c r="AE312" s="1407" t="s">
        <v>2172</v>
      </c>
      <c r="AF312" s="1407" t="s">
        <v>24</v>
      </c>
      <c r="AG312" s="1407" t="str">
        <f>IF(X312&gt;=1,(AB312*12+AD312)-(X312*12+Z312)+1,"")</f>
        <v/>
      </c>
      <c r="AH312" s="1409" t="s">
        <v>38</v>
      </c>
      <c r="AI312" s="1411" t="str">
        <f t="shared" ref="AI312" si="364">IFERROR(ROUNDDOWN(ROUND(L310*V312,0)*M310,0)*AG312,"")</f>
        <v/>
      </c>
      <c r="AJ312" s="1577" t="str">
        <f>IFERROR(ROUNDDOWN(ROUND((L310*(V312-AX310)),0)*M310,0)*AG312,"")</f>
        <v/>
      </c>
      <c r="AK312" s="1494" t="str">
        <f>IFERROR(ROUNDDOWN(ROUNDDOWN(ROUND(L310*VLOOKUP(K310,【参考】数式用!$A$5:$AB$27,MATCH("新加算Ⅳ",【参考】数式用!$B$4:$AB$4,0)+1,0),0)*M310,0)*AG312*0.5,0),"")</f>
        <v/>
      </c>
      <c r="AL312" s="1579"/>
      <c r="AM312" s="1585" t="str">
        <f>IFERROR(IF('別紙様式2-2（４・５月分）'!Q238="ベア加算","", IF(OR(U312="新加算Ⅰ",U312="新加算Ⅱ",U312="新加算Ⅲ",U312="新加算Ⅳ"),ROUNDDOWN(ROUND(L310*VLOOKUP(K310,【参考】数式用!$A$5:$I$27,MATCH("ベア加算",【参考】数式用!$B$4:$I$4,0)+1,0),0)*M310,0)*AG312,"")),"")</f>
        <v/>
      </c>
      <c r="AN312" s="1548"/>
      <c r="AO312" s="1554"/>
      <c r="AP312" s="1552"/>
      <c r="AQ312" s="1554"/>
      <c r="AR312" s="1556"/>
      <c r="AS312" s="1558"/>
      <c r="AT312" s="1532"/>
      <c r="AU312" s="542"/>
      <c r="AV312" s="1493" t="str">
        <f t="shared" ref="AV312" si="365">IF(OR(AB310&lt;&gt;7,AD310&lt;&gt;3),"V列に色付け","")</f>
        <v/>
      </c>
      <c r="AW312" s="1518"/>
      <c r="AX312" s="1507"/>
      <c r="AY312" s="671"/>
      <c r="AZ312" s="1321" t="str">
        <f>IF(AM312&lt;&gt;"",IF(AN312="○","入力済","未入力"),"")</f>
        <v/>
      </c>
      <c r="BA312" s="1321"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321" t="str">
        <f>IF(OR(U312="新加算Ⅴ（７）",U312="新加算Ⅴ（９）",U312="新加算Ⅴ（10）",U312="新加算Ⅴ（12）",U312="新加算Ⅴ（13）",U312="新加算Ⅴ（14）"),IF(OR(AP312="○",AP312="令和６年度中に満たす"),"入力済","未入力"),"")</f>
        <v/>
      </c>
      <c r="BC312" s="1321" t="str">
        <f>IF(OR(U312="新加算Ⅰ",U312="新加算Ⅱ",U312="新加算Ⅲ",U312="新加算Ⅴ（１）",U312="新加算Ⅴ（３）",U312="新加算Ⅴ（８）"),IF(OR(AQ312="○",AQ312="令和６年度中に満たす"),"入力済","未入力"),"")</f>
        <v/>
      </c>
      <c r="BD312" s="1588"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493" t="str">
        <f>IF(OR(U312="新加算Ⅰ",U312="新加算Ⅴ（１）",U312="新加算Ⅴ（２）",U312="新加算Ⅴ（５）",U312="新加算Ⅴ（７）",U312="新加算Ⅴ（10）"),IF(AS312="","未入力","入力済"),"")</f>
        <v/>
      </c>
      <c r="BF312" s="1493" t="str">
        <f>G310</f>
        <v/>
      </c>
      <c r="BG312" s="1493"/>
      <c r="BH312" s="1493"/>
    </row>
    <row r="313" spans="1:60" ht="30" customHeight="1" thickBot="1">
      <c r="A313" s="1227"/>
      <c r="B313" s="1376"/>
      <c r="C313" s="1377"/>
      <c r="D313" s="1377"/>
      <c r="E313" s="1377"/>
      <c r="F313" s="1378"/>
      <c r="G313" s="1267"/>
      <c r="H313" s="1267"/>
      <c r="I313" s="1267"/>
      <c r="J313" s="1373"/>
      <c r="K313" s="1267"/>
      <c r="L313" s="1452"/>
      <c r="M313" s="1449"/>
      <c r="N313" s="650" t="str">
        <f>IF('別紙様式2-2（４・５月分）'!Q238="","",'別紙様式2-2（４・５月分）'!Q238)</f>
        <v/>
      </c>
      <c r="O313" s="1369"/>
      <c r="P313" s="1391"/>
      <c r="Q313" s="1505"/>
      <c r="R313" s="1389"/>
      <c r="S313" s="1395"/>
      <c r="T313" s="1460"/>
      <c r="U313" s="1570"/>
      <c r="V313" s="1464"/>
      <c r="W313" s="1466"/>
      <c r="X313" s="1565"/>
      <c r="Y313" s="1408"/>
      <c r="Z313" s="1565"/>
      <c r="AA313" s="1408"/>
      <c r="AB313" s="1565"/>
      <c r="AC313" s="1408"/>
      <c r="AD313" s="1565"/>
      <c r="AE313" s="1408"/>
      <c r="AF313" s="1408"/>
      <c r="AG313" s="1408"/>
      <c r="AH313" s="1410"/>
      <c r="AI313" s="1412"/>
      <c r="AJ313" s="1578"/>
      <c r="AK313" s="1495"/>
      <c r="AL313" s="1580"/>
      <c r="AM313" s="1586"/>
      <c r="AN313" s="1549"/>
      <c r="AO313" s="1555"/>
      <c r="AP313" s="1553"/>
      <c r="AQ313" s="1555"/>
      <c r="AR313" s="1557"/>
      <c r="AS313" s="1559"/>
      <c r="AT313" s="672" t="str">
        <f t="shared" ref="AT313" si="366">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42"/>
      <c r="AV313" s="1493"/>
      <c r="AW313" s="652" t="str">
        <f>IF('別紙様式2-2（４・５月分）'!O238="","",'別紙様式2-2（４・５月分）'!O238)</f>
        <v/>
      </c>
      <c r="AX313" s="1507"/>
      <c r="AY313" s="673"/>
      <c r="AZ313" s="1321" t="str">
        <f>IF(OR(U313="新加算Ⅰ",U313="新加算Ⅱ",U313="新加算Ⅲ",U313="新加算Ⅳ",U313="新加算Ⅴ（１）",U313="新加算Ⅴ（２）",U313="新加算Ⅴ（３）",U313="新加算ⅠⅤ（４）",U313="新加算Ⅴ（５）",U313="新加算Ⅴ（６）",U313="新加算Ⅴ（８）",U313="新加算Ⅴ（11）"),IF(AJ313="○","","未入力"),"")</f>
        <v/>
      </c>
      <c r="BA313" s="1321" t="str">
        <f>IF(OR(V313="新加算Ⅰ",V313="新加算Ⅱ",V313="新加算Ⅲ",V313="新加算Ⅳ",V313="新加算Ⅴ（１）",V313="新加算Ⅴ（２）",V313="新加算Ⅴ（３）",V313="新加算ⅠⅤ（４）",V313="新加算Ⅴ（５）",V313="新加算Ⅴ（６）",V313="新加算Ⅴ（８）",V313="新加算Ⅴ（11）"),IF(AK313="○","","未入力"),"")</f>
        <v/>
      </c>
      <c r="BB313" s="1321" t="str">
        <f>IF(OR(V313="新加算Ⅴ（７）",V313="新加算Ⅴ（９）",V313="新加算Ⅴ（10）",V313="新加算Ⅴ（12）",V313="新加算Ⅴ（13）",V313="新加算Ⅴ（14）"),IF(AL313="○","","未入力"),"")</f>
        <v/>
      </c>
      <c r="BC313" s="1321" t="str">
        <f>IF(OR(V313="新加算Ⅰ",V313="新加算Ⅱ",V313="新加算Ⅲ",V313="新加算Ⅴ（１）",V313="新加算Ⅴ（３）",V313="新加算Ⅴ（８）"),IF(AM313="○","","未入力"),"")</f>
        <v/>
      </c>
      <c r="BD313" s="1588"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493" t="str">
        <f>IF(AND(U313&lt;&gt;"（参考）令和７年度の移行予定",OR(V313="新加算Ⅰ",V313="新加算Ⅴ（１）",V313="新加算Ⅴ（２）",V313="新加算Ⅴ（５）",V313="新加算Ⅴ（７）",V313="新加算Ⅴ（10）")),IF(AO313="","未入力",IF(AO313="いずれも取得していない","要件を満たさない","")),"")</f>
        <v/>
      </c>
      <c r="BF313" s="1493" t="str">
        <f>G310</f>
        <v/>
      </c>
      <c r="BG313" s="1493"/>
      <c r="BH313" s="1493"/>
    </row>
    <row r="314" spans="1:60" ht="30" customHeight="1">
      <c r="A314" s="1241">
        <v>76</v>
      </c>
      <c r="B314" s="1272" t="str">
        <f>IF(基本情報入力シート!C129="","",基本情報入力シート!C129)</f>
        <v/>
      </c>
      <c r="C314" s="1261"/>
      <c r="D314" s="1261"/>
      <c r="E314" s="1261"/>
      <c r="F314" s="1262"/>
      <c r="G314" s="1266" t="str">
        <f>IF(基本情報入力シート!M129="","",基本情報入力シート!M129)</f>
        <v/>
      </c>
      <c r="H314" s="1266" t="str">
        <f>IF(基本情報入力シート!R129="","",基本情報入力シート!R129)</f>
        <v/>
      </c>
      <c r="I314" s="1266" t="str">
        <f>IF(基本情報入力シート!W129="","",基本情報入力シート!W129)</f>
        <v/>
      </c>
      <c r="J314" s="1372" t="str">
        <f>IF(基本情報入力シート!X129="","",基本情報入力シート!X129)</f>
        <v/>
      </c>
      <c r="K314" s="1266" t="str">
        <f>IF(基本情報入力シート!Y129="","",基本情報入力シート!Y129)</f>
        <v/>
      </c>
      <c r="L314" s="1451" t="str">
        <f>IF(基本情報入力シート!AB129="","",基本情報入力シート!AB129)</f>
        <v/>
      </c>
      <c r="M314" s="1453" t="str">
        <f>IF(基本情報入力シート!AC129="","",基本情報入力シート!AC129)</f>
        <v/>
      </c>
      <c r="N314" s="647" t="str">
        <f>IF('別紙様式2-2（４・５月分）'!Q239="","",'別紙様式2-2（４・５月分）'!Q239)</f>
        <v/>
      </c>
      <c r="O314" s="1366" t="str">
        <f>IF(SUM('別紙様式2-2（４・５月分）'!R239:R241)=0,"",SUM('別紙様式2-2（４・５月分）'!R239:R241))</f>
        <v/>
      </c>
      <c r="P314" s="1380" t="str">
        <f>IFERROR(VLOOKUP('別紙様式2-2（４・５月分）'!AR239,【参考】数式用!$AT$5:$AU$22,2,FALSE),"")</f>
        <v/>
      </c>
      <c r="Q314" s="1381"/>
      <c r="R314" s="1382"/>
      <c r="S314" s="1392" t="str">
        <f>IFERROR(VLOOKUP(K314,【参考】数式用!$A$5:$AB$27,MATCH(P314,【参考】数式用!$B$4:$AB$4,0)+1,0),"")</f>
        <v/>
      </c>
      <c r="T314" s="1413" t="s">
        <v>2258</v>
      </c>
      <c r="U314" s="1562" t="str">
        <f>IF('別紙様式2-3（６月以降分）'!U314="","",'別紙様式2-3（６月以降分）'!U314)</f>
        <v/>
      </c>
      <c r="V314" s="1457" t="str">
        <f>IFERROR(VLOOKUP(K314,【参考】数式用!$A$5:$AB$27,MATCH(U314,【参考】数式用!$B$4:$AB$4,0)+1,0),"")</f>
        <v/>
      </c>
      <c r="W314" s="1350" t="s">
        <v>19</v>
      </c>
      <c r="X314" s="1534">
        <f>'別紙様式2-3（６月以降分）'!X314</f>
        <v>6</v>
      </c>
      <c r="Y314" s="1354" t="s">
        <v>10</v>
      </c>
      <c r="Z314" s="1534">
        <f>'別紙様式2-3（６月以降分）'!Z314</f>
        <v>6</v>
      </c>
      <c r="AA314" s="1354" t="s">
        <v>45</v>
      </c>
      <c r="AB314" s="1534">
        <f>'別紙様式2-3（６月以降分）'!AB314</f>
        <v>7</v>
      </c>
      <c r="AC314" s="1354" t="s">
        <v>10</v>
      </c>
      <c r="AD314" s="1534">
        <f>'別紙様式2-3（６月以降分）'!AD314</f>
        <v>3</v>
      </c>
      <c r="AE314" s="1354" t="s">
        <v>2172</v>
      </c>
      <c r="AF314" s="1354" t="s">
        <v>24</v>
      </c>
      <c r="AG314" s="1354">
        <f>IF(X314&gt;=1,(AB314*12+AD314)-(X314*12+Z314)+1,"")</f>
        <v>10</v>
      </c>
      <c r="AH314" s="1360" t="s">
        <v>38</v>
      </c>
      <c r="AI314" s="1481" t="str">
        <f>'別紙様式2-3（６月以降分）'!AI314</f>
        <v/>
      </c>
      <c r="AJ314" s="1542" t="str">
        <f>'別紙様式2-3（６月以降分）'!AJ314</f>
        <v/>
      </c>
      <c r="AK314" s="1538">
        <f>'別紙様式2-3（６月以降分）'!AK314</f>
        <v>0</v>
      </c>
      <c r="AL314" s="1540" t="str">
        <f>IF('別紙様式2-3（６月以降分）'!AL314="","",'別紙様式2-3（６月以降分）'!AL314)</f>
        <v/>
      </c>
      <c r="AM314" s="1571">
        <f>'別紙様式2-3（６月以降分）'!AM314</f>
        <v>0</v>
      </c>
      <c r="AN314" s="1573" t="str">
        <f>IF('別紙様式2-3（６月以降分）'!AN314="","",'別紙様式2-3（６月以降分）'!AN314)</f>
        <v/>
      </c>
      <c r="AO314" s="1403" t="str">
        <f>IF('別紙様式2-3（６月以降分）'!AO314="","",'別紙様式2-3（６月以降分）'!AO314)</f>
        <v/>
      </c>
      <c r="AP314" s="1502" t="str">
        <f>IF('別紙様式2-3（６月以降分）'!AP314="","",'別紙様式2-3（６月以降分）'!AP314)</f>
        <v/>
      </c>
      <c r="AQ314" s="1403" t="str">
        <f>IF('別紙様式2-3（６月以降分）'!AQ314="","",'別紙様式2-3（６月以降分）'!AQ314)</f>
        <v/>
      </c>
      <c r="AR314" s="1583" t="str">
        <f>IF('別紙様式2-3（６月以降分）'!AR314="","",'別紙様式2-3（６月以降分）'!AR314)</f>
        <v/>
      </c>
      <c r="AS314" s="1536" t="str">
        <f>IF('別紙様式2-3（６月以降分）'!AS314="","",'別紙様式2-3（６月以降分）'!AS314)</f>
        <v/>
      </c>
      <c r="AT314" s="667" t="str">
        <f t="shared" ref="AT314" si="367">IF(AV316="","",IF(V316&lt;V314,"！加算の要件上は問題ありませんが、令和６年度当初の新加算の加算率と比較して、移行後の加算率が下がる計画になっています。",""))</f>
        <v/>
      </c>
      <c r="AU314" s="674"/>
      <c r="AV314" s="1233"/>
      <c r="AW314" s="652" t="str">
        <f>IF('別紙様式2-2（４・５月分）'!O239="","",'別紙様式2-2（４・５月分）'!O239)</f>
        <v/>
      </c>
      <c r="AX314" s="1507" t="str">
        <f>IF(SUM('別紙様式2-2（４・５月分）'!P239:P241)=0,"",SUM('別紙様式2-2（４・５月分）'!P239:P241))</f>
        <v/>
      </c>
      <c r="AY314" s="1589" t="str">
        <f>IFERROR(VLOOKUP(K314,【参考】数式用!$AJ$2:$AK$24,2,FALSE),"")</f>
        <v/>
      </c>
      <c r="AZ314" s="584"/>
      <c r="BE314" s="428"/>
      <c r="BF314" s="1493" t="str">
        <f>G314</f>
        <v/>
      </c>
      <c r="BG314" s="1493"/>
      <c r="BH314" s="1493"/>
    </row>
    <row r="315" spans="1:60" ht="15" customHeight="1">
      <c r="A315" s="1226"/>
      <c r="B315" s="1272"/>
      <c r="C315" s="1261"/>
      <c r="D315" s="1261"/>
      <c r="E315" s="1261"/>
      <c r="F315" s="1262"/>
      <c r="G315" s="1266"/>
      <c r="H315" s="1266"/>
      <c r="I315" s="1266"/>
      <c r="J315" s="1372"/>
      <c r="K315" s="1266"/>
      <c r="L315" s="1451"/>
      <c r="M315" s="1453"/>
      <c r="N315" s="1370" t="str">
        <f>IF('別紙様式2-2（４・５月分）'!Q240="","",'別紙様式2-2（４・５月分）'!Q240)</f>
        <v/>
      </c>
      <c r="O315" s="1367"/>
      <c r="P315" s="1383"/>
      <c r="Q315" s="1384"/>
      <c r="R315" s="1385"/>
      <c r="S315" s="1393"/>
      <c r="T315" s="1414"/>
      <c r="U315" s="1563"/>
      <c r="V315" s="1458"/>
      <c r="W315" s="1351"/>
      <c r="X315" s="1535"/>
      <c r="Y315" s="1355"/>
      <c r="Z315" s="1535"/>
      <c r="AA315" s="1355"/>
      <c r="AB315" s="1535"/>
      <c r="AC315" s="1355"/>
      <c r="AD315" s="1535"/>
      <c r="AE315" s="1355"/>
      <c r="AF315" s="1355"/>
      <c r="AG315" s="1355"/>
      <c r="AH315" s="1361"/>
      <c r="AI315" s="1482"/>
      <c r="AJ315" s="1543"/>
      <c r="AK315" s="1539"/>
      <c r="AL315" s="1541"/>
      <c r="AM315" s="1572"/>
      <c r="AN315" s="1574"/>
      <c r="AO315" s="1404"/>
      <c r="AP315" s="1533"/>
      <c r="AQ315" s="1404"/>
      <c r="AR315" s="1584"/>
      <c r="AS315" s="1537"/>
      <c r="AT315" s="1532" t="str">
        <f t="shared" ref="AT315" si="368">IF(AV316="","",IF(OR(AB316="",AB316&lt;&gt;7,AD316="",AD316&lt;&gt;3),"！算定期間の終わりが令和７年３月になっていません。年度内の廃止予定等がなければ、算定対象月を令和７年３月にしてください。",""))</f>
        <v/>
      </c>
      <c r="AU315" s="674"/>
      <c r="AV315" s="1493"/>
      <c r="AW315" s="1518" t="str">
        <f>IF('別紙様式2-2（４・５月分）'!O240="","",'別紙様式2-2（４・５月分）'!O240)</f>
        <v/>
      </c>
      <c r="AX315" s="1507"/>
      <c r="AY315" s="1589"/>
      <c r="AZ315" s="521"/>
      <c r="BE315" s="428"/>
      <c r="BF315" s="1493" t="str">
        <f>G314</f>
        <v/>
      </c>
      <c r="BG315" s="1493"/>
      <c r="BH315" s="1493"/>
    </row>
    <row r="316" spans="1:60" ht="15" customHeight="1">
      <c r="A316" s="1240"/>
      <c r="B316" s="1272"/>
      <c r="C316" s="1261"/>
      <c r="D316" s="1261"/>
      <c r="E316" s="1261"/>
      <c r="F316" s="1262"/>
      <c r="G316" s="1266"/>
      <c r="H316" s="1266"/>
      <c r="I316" s="1266"/>
      <c r="J316" s="1372"/>
      <c r="K316" s="1266"/>
      <c r="L316" s="1451"/>
      <c r="M316" s="1453"/>
      <c r="N316" s="1371"/>
      <c r="O316" s="1368"/>
      <c r="P316" s="1390" t="s">
        <v>2179</v>
      </c>
      <c r="Q316" s="1504" t="str">
        <f>IFERROR(VLOOKUP('別紙様式2-2（４・５月分）'!AR239,【参考】数式用!$AT$5:$AV$22,3,FALSE),"")</f>
        <v/>
      </c>
      <c r="R316" s="1388" t="s">
        <v>2190</v>
      </c>
      <c r="S316" s="1394" t="str">
        <f>IFERROR(VLOOKUP(K314,【参考】数式用!$A$5:$AB$27,MATCH(Q316,【参考】数式用!$B$4:$AB$4,0)+1,0),"")</f>
        <v/>
      </c>
      <c r="T316" s="1459" t="s">
        <v>2267</v>
      </c>
      <c r="U316" s="1569"/>
      <c r="V316" s="1463" t="str">
        <f>IFERROR(VLOOKUP(K314,【参考】数式用!$A$5:$AB$27,MATCH(U316,【参考】数式用!$B$4:$AB$4,0)+1,0),"")</f>
        <v/>
      </c>
      <c r="W316" s="1465" t="s">
        <v>19</v>
      </c>
      <c r="X316" s="1564"/>
      <c r="Y316" s="1407" t="s">
        <v>10</v>
      </c>
      <c r="Z316" s="1564"/>
      <c r="AA316" s="1407" t="s">
        <v>45</v>
      </c>
      <c r="AB316" s="1564"/>
      <c r="AC316" s="1407" t="s">
        <v>10</v>
      </c>
      <c r="AD316" s="1564"/>
      <c r="AE316" s="1407" t="s">
        <v>2172</v>
      </c>
      <c r="AF316" s="1407" t="s">
        <v>24</v>
      </c>
      <c r="AG316" s="1407" t="str">
        <f>IF(X316&gt;=1,(AB316*12+AD316)-(X316*12+Z316)+1,"")</f>
        <v/>
      </c>
      <c r="AH316" s="1409" t="s">
        <v>38</v>
      </c>
      <c r="AI316" s="1411" t="str">
        <f t="shared" ref="AI316" si="369">IFERROR(ROUNDDOWN(ROUND(L314*V316,0)*M314,0)*AG316,"")</f>
        <v/>
      </c>
      <c r="AJ316" s="1577" t="str">
        <f>IFERROR(ROUNDDOWN(ROUND((L314*(V316-AX314)),0)*M314,0)*AG316,"")</f>
        <v/>
      </c>
      <c r="AK316" s="1494" t="str">
        <f>IFERROR(ROUNDDOWN(ROUNDDOWN(ROUND(L314*VLOOKUP(K314,【参考】数式用!$A$5:$AB$27,MATCH("新加算Ⅳ",【参考】数式用!$B$4:$AB$4,0)+1,0),0)*M314,0)*AG316*0.5,0),"")</f>
        <v/>
      </c>
      <c r="AL316" s="1579"/>
      <c r="AM316" s="1585" t="str">
        <f>IFERROR(IF('別紙様式2-2（４・５月分）'!Q241="ベア加算","", IF(OR(U316="新加算Ⅰ",U316="新加算Ⅱ",U316="新加算Ⅲ",U316="新加算Ⅳ"),ROUNDDOWN(ROUND(L314*VLOOKUP(K314,【参考】数式用!$A$5:$I$27,MATCH("ベア加算",【参考】数式用!$B$4:$I$4,0)+1,0),0)*M314,0)*AG316,"")),"")</f>
        <v/>
      </c>
      <c r="AN316" s="1548"/>
      <c r="AO316" s="1554"/>
      <c r="AP316" s="1552"/>
      <c r="AQ316" s="1554"/>
      <c r="AR316" s="1556"/>
      <c r="AS316" s="1558"/>
      <c r="AT316" s="1532"/>
      <c r="AU316" s="542"/>
      <c r="AV316" s="1493" t="str">
        <f t="shared" ref="AV316" si="370">IF(OR(AB314&lt;&gt;7,AD314&lt;&gt;3),"V列に色付け","")</f>
        <v/>
      </c>
      <c r="AW316" s="1518"/>
      <c r="AX316" s="1507"/>
      <c r="AY316" s="671"/>
      <c r="AZ316" s="1321" t="str">
        <f>IF(AM316&lt;&gt;"",IF(AN316="○","入力済","未入力"),"")</f>
        <v/>
      </c>
      <c r="BA316" s="1321"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321" t="str">
        <f>IF(OR(U316="新加算Ⅴ（７）",U316="新加算Ⅴ（９）",U316="新加算Ⅴ（10）",U316="新加算Ⅴ（12）",U316="新加算Ⅴ（13）",U316="新加算Ⅴ（14）"),IF(OR(AP316="○",AP316="令和６年度中に満たす"),"入力済","未入力"),"")</f>
        <v/>
      </c>
      <c r="BC316" s="1321" t="str">
        <f>IF(OR(U316="新加算Ⅰ",U316="新加算Ⅱ",U316="新加算Ⅲ",U316="新加算Ⅴ（１）",U316="新加算Ⅴ（３）",U316="新加算Ⅴ（８）"),IF(OR(AQ316="○",AQ316="令和６年度中に満たす"),"入力済","未入力"),"")</f>
        <v/>
      </c>
      <c r="BD316" s="1588"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493" t="str">
        <f>IF(OR(U316="新加算Ⅰ",U316="新加算Ⅴ（１）",U316="新加算Ⅴ（２）",U316="新加算Ⅴ（５）",U316="新加算Ⅴ（７）",U316="新加算Ⅴ（10）"),IF(AS316="","未入力","入力済"),"")</f>
        <v/>
      </c>
      <c r="BF316" s="1493" t="str">
        <f>G314</f>
        <v/>
      </c>
      <c r="BG316" s="1493"/>
      <c r="BH316" s="1493"/>
    </row>
    <row r="317" spans="1:60" ht="30" customHeight="1" thickBot="1">
      <c r="A317" s="1227"/>
      <c r="B317" s="1376"/>
      <c r="C317" s="1377"/>
      <c r="D317" s="1377"/>
      <c r="E317" s="1377"/>
      <c r="F317" s="1378"/>
      <c r="G317" s="1267"/>
      <c r="H317" s="1267"/>
      <c r="I317" s="1267"/>
      <c r="J317" s="1373"/>
      <c r="K317" s="1267"/>
      <c r="L317" s="1452"/>
      <c r="M317" s="1454"/>
      <c r="N317" s="650" t="str">
        <f>IF('別紙様式2-2（４・５月分）'!Q241="","",'別紙様式2-2（４・５月分）'!Q241)</f>
        <v/>
      </c>
      <c r="O317" s="1369"/>
      <c r="P317" s="1391"/>
      <c r="Q317" s="1505"/>
      <c r="R317" s="1389"/>
      <c r="S317" s="1395"/>
      <c r="T317" s="1460"/>
      <c r="U317" s="1570"/>
      <c r="V317" s="1464"/>
      <c r="W317" s="1466"/>
      <c r="X317" s="1565"/>
      <c r="Y317" s="1408"/>
      <c r="Z317" s="1565"/>
      <c r="AA317" s="1408"/>
      <c r="AB317" s="1565"/>
      <c r="AC317" s="1408"/>
      <c r="AD317" s="1565"/>
      <c r="AE317" s="1408"/>
      <c r="AF317" s="1408"/>
      <c r="AG317" s="1408"/>
      <c r="AH317" s="1410"/>
      <c r="AI317" s="1412"/>
      <c r="AJ317" s="1578"/>
      <c r="AK317" s="1495"/>
      <c r="AL317" s="1580"/>
      <c r="AM317" s="1586"/>
      <c r="AN317" s="1549"/>
      <c r="AO317" s="1555"/>
      <c r="AP317" s="1553"/>
      <c r="AQ317" s="1555"/>
      <c r="AR317" s="1557"/>
      <c r="AS317" s="1559"/>
      <c r="AT317" s="672" t="str">
        <f t="shared" ref="AT317" si="371">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42"/>
      <c r="AV317" s="1493"/>
      <c r="AW317" s="652" t="str">
        <f>IF('別紙様式2-2（４・５月分）'!O241="","",'別紙様式2-2（４・５月分）'!O241)</f>
        <v/>
      </c>
      <c r="AX317" s="1507"/>
      <c r="AY317" s="673"/>
      <c r="AZ317" s="1321" t="str">
        <f>IF(OR(U317="新加算Ⅰ",U317="新加算Ⅱ",U317="新加算Ⅲ",U317="新加算Ⅳ",U317="新加算Ⅴ（１）",U317="新加算Ⅴ（２）",U317="新加算Ⅴ（３）",U317="新加算ⅠⅤ（４）",U317="新加算Ⅴ（５）",U317="新加算Ⅴ（６）",U317="新加算Ⅴ（８）",U317="新加算Ⅴ（11）"),IF(AJ317="○","","未入力"),"")</f>
        <v/>
      </c>
      <c r="BA317" s="1321" t="str">
        <f>IF(OR(V317="新加算Ⅰ",V317="新加算Ⅱ",V317="新加算Ⅲ",V317="新加算Ⅳ",V317="新加算Ⅴ（１）",V317="新加算Ⅴ（２）",V317="新加算Ⅴ（３）",V317="新加算ⅠⅤ（４）",V317="新加算Ⅴ（５）",V317="新加算Ⅴ（６）",V317="新加算Ⅴ（８）",V317="新加算Ⅴ（11）"),IF(AK317="○","","未入力"),"")</f>
        <v/>
      </c>
      <c r="BB317" s="1321" t="str">
        <f>IF(OR(V317="新加算Ⅴ（７）",V317="新加算Ⅴ（９）",V317="新加算Ⅴ（10）",V317="新加算Ⅴ（12）",V317="新加算Ⅴ（13）",V317="新加算Ⅴ（14）"),IF(AL317="○","","未入力"),"")</f>
        <v/>
      </c>
      <c r="BC317" s="1321" t="str">
        <f>IF(OR(V317="新加算Ⅰ",V317="新加算Ⅱ",V317="新加算Ⅲ",V317="新加算Ⅴ（１）",V317="新加算Ⅴ（３）",V317="新加算Ⅴ（８）"),IF(AM317="○","","未入力"),"")</f>
        <v/>
      </c>
      <c r="BD317" s="1588"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493" t="str">
        <f>IF(AND(U317&lt;&gt;"（参考）令和７年度の移行予定",OR(V317="新加算Ⅰ",V317="新加算Ⅴ（１）",V317="新加算Ⅴ（２）",V317="新加算Ⅴ（５）",V317="新加算Ⅴ（７）",V317="新加算Ⅴ（10）")),IF(AO317="","未入力",IF(AO317="いずれも取得していない","要件を満たさない","")),"")</f>
        <v/>
      </c>
      <c r="BF317" s="1493" t="str">
        <f>G314</f>
        <v/>
      </c>
      <c r="BG317" s="1493"/>
      <c r="BH317" s="1493"/>
    </row>
    <row r="318" spans="1:60" ht="30" customHeight="1">
      <c r="A318" s="1225">
        <v>77</v>
      </c>
      <c r="B318" s="1271" t="str">
        <f>IF(基本情報入力シート!C130="","",基本情報入力シート!C130)</f>
        <v/>
      </c>
      <c r="C318" s="1259"/>
      <c r="D318" s="1259"/>
      <c r="E318" s="1259"/>
      <c r="F318" s="1260"/>
      <c r="G318" s="1265" t="str">
        <f>IF(基本情報入力シート!M130="","",基本情報入力シート!M130)</f>
        <v/>
      </c>
      <c r="H318" s="1265" t="str">
        <f>IF(基本情報入力シート!R130="","",基本情報入力シート!R130)</f>
        <v/>
      </c>
      <c r="I318" s="1265" t="str">
        <f>IF(基本情報入力シート!W130="","",基本情報入力シート!W130)</f>
        <v/>
      </c>
      <c r="J318" s="1379" t="str">
        <f>IF(基本情報入力シート!X130="","",基本情報入力シート!X130)</f>
        <v/>
      </c>
      <c r="K318" s="1265" t="str">
        <f>IF(基本情報入力シート!Y130="","",基本情報入力シート!Y130)</f>
        <v/>
      </c>
      <c r="L318" s="1450" t="str">
        <f>IF(基本情報入力シート!AB130="","",基本情報入力シート!AB130)</f>
        <v/>
      </c>
      <c r="M318" s="1447" t="str">
        <f>IF(基本情報入力シート!AC130="","",基本情報入力シート!AC130)</f>
        <v/>
      </c>
      <c r="N318" s="647" t="str">
        <f>IF('別紙様式2-2（４・５月分）'!Q242="","",'別紙様式2-2（４・５月分）'!Q242)</f>
        <v/>
      </c>
      <c r="O318" s="1366" t="str">
        <f>IF(SUM('別紙様式2-2（４・５月分）'!R242:R244)=0,"",SUM('別紙様式2-2（４・５月分）'!R242:R244))</f>
        <v/>
      </c>
      <c r="P318" s="1380" t="str">
        <f>IFERROR(VLOOKUP('別紙様式2-2（４・５月分）'!AR242,【参考】数式用!$AT$5:$AU$22,2,FALSE),"")</f>
        <v/>
      </c>
      <c r="Q318" s="1381"/>
      <c r="R318" s="1382"/>
      <c r="S318" s="1392" t="str">
        <f>IFERROR(VLOOKUP(K318,【参考】数式用!$A$5:$AB$27,MATCH(P318,【参考】数式用!$B$4:$AB$4,0)+1,0),"")</f>
        <v/>
      </c>
      <c r="T318" s="1413" t="s">
        <v>2258</v>
      </c>
      <c r="U318" s="1562" t="str">
        <f>IF('別紙様式2-3（６月以降分）'!U318="","",'別紙様式2-3（６月以降分）'!U318)</f>
        <v/>
      </c>
      <c r="V318" s="1457" t="str">
        <f>IFERROR(VLOOKUP(K318,【参考】数式用!$A$5:$AB$27,MATCH(U318,【参考】数式用!$B$4:$AB$4,0)+1,0),"")</f>
        <v/>
      </c>
      <c r="W318" s="1350" t="s">
        <v>19</v>
      </c>
      <c r="X318" s="1534">
        <f>'別紙様式2-3（６月以降分）'!X318</f>
        <v>6</v>
      </c>
      <c r="Y318" s="1354" t="s">
        <v>10</v>
      </c>
      <c r="Z318" s="1534">
        <f>'別紙様式2-3（６月以降分）'!Z318</f>
        <v>6</v>
      </c>
      <c r="AA318" s="1354" t="s">
        <v>45</v>
      </c>
      <c r="AB318" s="1534">
        <f>'別紙様式2-3（６月以降分）'!AB318</f>
        <v>7</v>
      </c>
      <c r="AC318" s="1354" t="s">
        <v>10</v>
      </c>
      <c r="AD318" s="1534">
        <f>'別紙様式2-3（６月以降分）'!AD318</f>
        <v>3</v>
      </c>
      <c r="AE318" s="1354" t="s">
        <v>2172</v>
      </c>
      <c r="AF318" s="1354" t="s">
        <v>24</v>
      </c>
      <c r="AG318" s="1354">
        <f>IF(X318&gt;=1,(AB318*12+AD318)-(X318*12+Z318)+1,"")</f>
        <v>10</v>
      </c>
      <c r="AH318" s="1360" t="s">
        <v>38</v>
      </c>
      <c r="AI318" s="1481" t="str">
        <f>'別紙様式2-3（６月以降分）'!AI318</f>
        <v/>
      </c>
      <c r="AJ318" s="1542" t="str">
        <f>'別紙様式2-3（６月以降分）'!AJ318</f>
        <v/>
      </c>
      <c r="AK318" s="1538">
        <f>'別紙様式2-3（６月以降分）'!AK318</f>
        <v>0</v>
      </c>
      <c r="AL318" s="1540" t="str">
        <f>IF('別紙様式2-3（６月以降分）'!AL318="","",'別紙様式2-3（６月以降分）'!AL318)</f>
        <v/>
      </c>
      <c r="AM318" s="1571">
        <f>'別紙様式2-3（６月以降分）'!AM318</f>
        <v>0</v>
      </c>
      <c r="AN318" s="1573" t="str">
        <f>IF('別紙様式2-3（６月以降分）'!AN318="","",'別紙様式2-3（６月以降分）'!AN318)</f>
        <v/>
      </c>
      <c r="AO318" s="1403" t="str">
        <f>IF('別紙様式2-3（６月以降分）'!AO318="","",'別紙様式2-3（６月以降分）'!AO318)</f>
        <v/>
      </c>
      <c r="AP318" s="1502" t="str">
        <f>IF('別紙様式2-3（６月以降分）'!AP318="","",'別紙様式2-3（６月以降分）'!AP318)</f>
        <v/>
      </c>
      <c r="AQ318" s="1403" t="str">
        <f>IF('別紙様式2-3（６月以降分）'!AQ318="","",'別紙様式2-3（６月以降分）'!AQ318)</f>
        <v/>
      </c>
      <c r="AR318" s="1583" t="str">
        <f>IF('別紙様式2-3（６月以降分）'!AR318="","",'別紙様式2-3（６月以降分）'!AR318)</f>
        <v/>
      </c>
      <c r="AS318" s="1536" t="str">
        <f>IF('別紙様式2-3（６月以降分）'!AS318="","",'別紙様式2-3（６月以降分）'!AS318)</f>
        <v/>
      </c>
      <c r="AT318" s="667" t="str">
        <f t="shared" ref="AT318" si="372">IF(AV320="","",IF(V320&lt;V318,"！加算の要件上は問題ありませんが、令和６年度当初の新加算の加算率と比較して、移行後の加算率が下がる計画になっています。",""))</f>
        <v/>
      </c>
      <c r="AU318" s="674"/>
      <c r="AV318" s="1233"/>
      <c r="AW318" s="652" t="str">
        <f>IF('別紙様式2-2（４・５月分）'!O242="","",'別紙様式2-2（４・５月分）'!O242)</f>
        <v/>
      </c>
      <c r="AX318" s="1507" t="str">
        <f>IF(SUM('別紙様式2-2（４・５月分）'!P242:P244)=0,"",SUM('別紙様式2-2（４・５月分）'!P242:P244))</f>
        <v/>
      </c>
      <c r="AY318" s="1590" t="str">
        <f>IFERROR(VLOOKUP(K318,【参考】数式用!$AJ$2:$AK$24,2,FALSE),"")</f>
        <v/>
      </c>
      <c r="AZ318" s="584"/>
      <c r="BE318" s="428"/>
      <c r="BF318" s="1493" t="str">
        <f>G318</f>
        <v/>
      </c>
      <c r="BG318" s="1493"/>
      <c r="BH318" s="1493"/>
    </row>
    <row r="319" spans="1:60" ht="15" customHeight="1">
      <c r="A319" s="1226"/>
      <c r="B319" s="1272"/>
      <c r="C319" s="1261"/>
      <c r="D319" s="1261"/>
      <c r="E319" s="1261"/>
      <c r="F319" s="1262"/>
      <c r="G319" s="1266"/>
      <c r="H319" s="1266"/>
      <c r="I319" s="1266"/>
      <c r="J319" s="1372"/>
      <c r="K319" s="1266"/>
      <c r="L319" s="1451"/>
      <c r="M319" s="1448"/>
      <c r="N319" s="1370" t="str">
        <f>IF('別紙様式2-2（４・５月分）'!Q243="","",'別紙様式2-2（４・５月分）'!Q243)</f>
        <v/>
      </c>
      <c r="O319" s="1367"/>
      <c r="P319" s="1383"/>
      <c r="Q319" s="1384"/>
      <c r="R319" s="1385"/>
      <c r="S319" s="1393"/>
      <c r="T319" s="1414"/>
      <c r="U319" s="1563"/>
      <c r="V319" s="1458"/>
      <c r="W319" s="1351"/>
      <c r="X319" s="1535"/>
      <c r="Y319" s="1355"/>
      <c r="Z319" s="1535"/>
      <c r="AA319" s="1355"/>
      <c r="AB319" s="1535"/>
      <c r="AC319" s="1355"/>
      <c r="AD319" s="1535"/>
      <c r="AE319" s="1355"/>
      <c r="AF319" s="1355"/>
      <c r="AG319" s="1355"/>
      <c r="AH319" s="1361"/>
      <c r="AI319" s="1482"/>
      <c r="AJ319" s="1543"/>
      <c r="AK319" s="1539"/>
      <c r="AL319" s="1541"/>
      <c r="AM319" s="1572"/>
      <c r="AN319" s="1574"/>
      <c r="AO319" s="1404"/>
      <c r="AP319" s="1533"/>
      <c r="AQ319" s="1404"/>
      <c r="AR319" s="1584"/>
      <c r="AS319" s="1537"/>
      <c r="AT319" s="1532" t="str">
        <f t="shared" ref="AT319" si="373">IF(AV320="","",IF(OR(AB320="",AB320&lt;&gt;7,AD320="",AD320&lt;&gt;3),"！算定期間の終わりが令和７年３月になっていません。年度内の廃止予定等がなければ、算定対象月を令和７年３月にしてください。",""))</f>
        <v/>
      </c>
      <c r="AU319" s="674"/>
      <c r="AV319" s="1493"/>
      <c r="AW319" s="1518" t="str">
        <f>IF('別紙様式2-2（４・５月分）'!O243="","",'別紙様式2-2（４・５月分）'!O243)</f>
        <v/>
      </c>
      <c r="AX319" s="1507"/>
      <c r="AY319" s="1589"/>
      <c r="AZ319" s="521"/>
      <c r="BE319" s="428"/>
      <c r="BF319" s="1493" t="str">
        <f>G318</f>
        <v/>
      </c>
      <c r="BG319" s="1493"/>
      <c r="BH319" s="1493"/>
    </row>
    <row r="320" spans="1:60" ht="15" customHeight="1">
      <c r="A320" s="1240"/>
      <c r="B320" s="1272"/>
      <c r="C320" s="1261"/>
      <c r="D320" s="1261"/>
      <c r="E320" s="1261"/>
      <c r="F320" s="1262"/>
      <c r="G320" s="1266"/>
      <c r="H320" s="1266"/>
      <c r="I320" s="1266"/>
      <c r="J320" s="1372"/>
      <c r="K320" s="1266"/>
      <c r="L320" s="1451"/>
      <c r="M320" s="1448"/>
      <c r="N320" s="1371"/>
      <c r="O320" s="1368"/>
      <c r="P320" s="1390" t="s">
        <v>2179</v>
      </c>
      <c r="Q320" s="1504" t="str">
        <f>IFERROR(VLOOKUP('別紙様式2-2（４・５月分）'!AR242,【参考】数式用!$AT$5:$AV$22,3,FALSE),"")</f>
        <v/>
      </c>
      <c r="R320" s="1388" t="s">
        <v>2190</v>
      </c>
      <c r="S320" s="1396" t="str">
        <f>IFERROR(VLOOKUP(K318,【参考】数式用!$A$5:$AB$27,MATCH(Q320,【参考】数式用!$B$4:$AB$4,0)+1,0),"")</f>
        <v/>
      </c>
      <c r="T320" s="1459" t="s">
        <v>2267</v>
      </c>
      <c r="U320" s="1569"/>
      <c r="V320" s="1463" t="str">
        <f>IFERROR(VLOOKUP(K318,【参考】数式用!$A$5:$AB$27,MATCH(U320,【参考】数式用!$B$4:$AB$4,0)+1,0),"")</f>
        <v/>
      </c>
      <c r="W320" s="1465" t="s">
        <v>19</v>
      </c>
      <c r="X320" s="1564"/>
      <c r="Y320" s="1407" t="s">
        <v>10</v>
      </c>
      <c r="Z320" s="1564"/>
      <c r="AA320" s="1407" t="s">
        <v>45</v>
      </c>
      <c r="AB320" s="1564"/>
      <c r="AC320" s="1407" t="s">
        <v>10</v>
      </c>
      <c r="AD320" s="1564"/>
      <c r="AE320" s="1407" t="s">
        <v>2172</v>
      </c>
      <c r="AF320" s="1407" t="s">
        <v>24</v>
      </c>
      <c r="AG320" s="1407" t="str">
        <f>IF(X320&gt;=1,(AB320*12+AD320)-(X320*12+Z320)+1,"")</f>
        <v/>
      </c>
      <c r="AH320" s="1409" t="s">
        <v>38</v>
      </c>
      <c r="AI320" s="1411" t="str">
        <f t="shared" ref="AI320" si="374">IFERROR(ROUNDDOWN(ROUND(L318*V320,0)*M318,0)*AG320,"")</f>
        <v/>
      </c>
      <c r="AJ320" s="1577" t="str">
        <f>IFERROR(ROUNDDOWN(ROUND((L318*(V320-AX318)),0)*M318,0)*AG320,"")</f>
        <v/>
      </c>
      <c r="AK320" s="1494" t="str">
        <f>IFERROR(ROUNDDOWN(ROUNDDOWN(ROUND(L318*VLOOKUP(K318,【参考】数式用!$A$5:$AB$27,MATCH("新加算Ⅳ",【参考】数式用!$B$4:$AB$4,0)+1,0),0)*M318,0)*AG320*0.5,0),"")</f>
        <v/>
      </c>
      <c r="AL320" s="1579"/>
      <c r="AM320" s="1585" t="str">
        <f>IFERROR(IF('別紙様式2-2（４・５月分）'!Q244="ベア加算","", IF(OR(U320="新加算Ⅰ",U320="新加算Ⅱ",U320="新加算Ⅲ",U320="新加算Ⅳ"),ROUNDDOWN(ROUND(L318*VLOOKUP(K318,【参考】数式用!$A$5:$I$27,MATCH("ベア加算",【参考】数式用!$B$4:$I$4,0)+1,0),0)*M318,0)*AG320,"")),"")</f>
        <v/>
      </c>
      <c r="AN320" s="1548"/>
      <c r="AO320" s="1554"/>
      <c r="AP320" s="1552"/>
      <c r="AQ320" s="1554"/>
      <c r="AR320" s="1556"/>
      <c r="AS320" s="1558"/>
      <c r="AT320" s="1532"/>
      <c r="AU320" s="542"/>
      <c r="AV320" s="1493" t="str">
        <f t="shared" ref="AV320" si="375">IF(OR(AB318&lt;&gt;7,AD318&lt;&gt;3),"V列に色付け","")</f>
        <v/>
      </c>
      <c r="AW320" s="1518"/>
      <c r="AX320" s="1507"/>
      <c r="AY320" s="671"/>
      <c r="AZ320" s="1321" t="str">
        <f>IF(AM320&lt;&gt;"",IF(AN320="○","入力済","未入力"),"")</f>
        <v/>
      </c>
      <c r="BA320" s="1321"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321" t="str">
        <f>IF(OR(U320="新加算Ⅴ（７）",U320="新加算Ⅴ（９）",U320="新加算Ⅴ（10）",U320="新加算Ⅴ（12）",U320="新加算Ⅴ（13）",U320="新加算Ⅴ（14）"),IF(OR(AP320="○",AP320="令和６年度中に満たす"),"入力済","未入力"),"")</f>
        <v/>
      </c>
      <c r="BC320" s="1321" t="str">
        <f>IF(OR(U320="新加算Ⅰ",U320="新加算Ⅱ",U320="新加算Ⅲ",U320="新加算Ⅴ（１）",U320="新加算Ⅴ（３）",U320="新加算Ⅴ（８）"),IF(OR(AQ320="○",AQ320="令和６年度中に満たす"),"入力済","未入力"),"")</f>
        <v/>
      </c>
      <c r="BD320" s="1588"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493" t="str">
        <f>IF(OR(U320="新加算Ⅰ",U320="新加算Ⅴ（１）",U320="新加算Ⅴ（２）",U320="新加算Ⅴ（５）",U320="新加算Ⅴ（７）",U320="新加算Ⅴ（10）"),IF(AS320="","未入力","入力済"),"")</f>
        <v/>
      </c>
      <c r="BF320" s="1493" t="str">
        <f>G318</f>
        <v/>
      </c>
      <c r="BG320" s="1493"/>
      <c r="BH320" s="1493"/>
    </row>
    <row r="321" spans="1:60" ht="30" customHeight="1" thickBot="1">
      <c r="A321" s="1227"/>
      <c r="B321" s="1376"/>
      <c r="C321" s="1377"/>
      <c r="D321" s="1377"/>
      <c r="E321" s="1377"/>
      <c r="F321" s="1378"/>
      <c r="G321" s="1267"/>
      <c r="H321" s="1267"/>
      <c r="I321" s="1267"/>
      <c r="J321" s="1373"/>
      <c r="K321" s="1267"/>
      <c r="L321" s="1452"/>
      <c r="M321" s="1449"/>
      <c r="N321" s="650" t="str">
        <f>IF('別紙様式2-2（４・５月分）'!Q244="","",'別紙様式2-2（４・５月分）'!Q244)</f>
        <v/>
      </c>
      <c r="O321" s="1369"/>
      <c r="P321" s="1391"/>
      <c r="Q321" s="1505"/>
      <c r="R321" s="1389"/>
      <c r="S321" s="1395"/>
      <c r="T321" s="1460"/>
      <c r="U321" s="1570"/>
      <c r="V321" s="1464"/>
      <c r="W321" s="1466"/>
      <c r="X321" s="1565"/>
      <c r="Y321" s="1408"/>
      <c r="Z321" s="1565"/>
      <c r="AA321" s="1408"/>
      <c r="AB321" s="1565"/>
      <c r="AC321" s="1408"/>
      <c r="AD321" s="1565"/>
      <c r="AE321" s="1408"/>
      <c r="AF321" s="1408"/>
      <c r="AG321" s="1408"/>
      <c r="AH321" s="1410"/>
      <c r="AI321" s="1412"/>
      <c r="AJ321" s="1578"/>
      <c r="AK321" s="1495"/>
      <c r="AL321" s="1580"/>
      <c r="AM321" s="1586"/>
      <c r="AN321" s="1549"/>
      <c r="AO321" s="1555"/>
      <c r="AP321" s="1553"/>
      <c r="AQ321" s="1555"/>
      <c r="AR321" s="1557"/>
      <c r="AS321" s="1559"/>
      <c r="AT321" s="672" t="str">
        <f t="shared" ref="AT321" si="376">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42"/>
      <c r="AV321" s="1493"/>
      <c r="AW321" s="652" t="str">
        <f>IF('別紙様式2-2（４・５月分）'!O244="","",'別紙様式2-2（４・５月分）'!O244)</f>
        <v/>
      </c>
      <c r="AX321" s="1507"/>
      <c r="AY321" s="673"/>
      <c r="AZ321" s="1321" t="str">
        <f>IF(OR(U321="新加算Ⅰ",U321="新加算Ⅱ",U321="新加算Ⅲ",U321="新加算Ⅳ",U321="新加算Ⅴ（１）",U321="新加算Ⅴ（２）",U321="新加算Ⅴ（３）",U321="新加算ⅠⅤ（４）",U321="新加算Ⅴ（５）",U321="新加算Ⅴ（６）",U321="新加算Ⅴ（８）",U321="新加算Ⅴ（11）"),IF(AJ321="○","","未入力"),"")</f>
        <v/>
      </c>
      <c r="BA321" s="1321" t="str">
        <f>IF(OR(V321="新加算Ⅰ",V321="新加算Ⅱ",V321="新加算Ⅲ",V321="新加算Ⅳ",V321="新加算Ⅴ（１）",V321="新加算Ⅴ（２）",V321="新加算Ⅴ（３）",V321="新加算ⅠⅤ（４）",V321="新加算Ⅴ（５）",V321="新加算Ⅴ（６）",V321="新加算Ⅴ（８）",V321="新加算Ⅴ（11）"),IF(AK321="○","","未入力"),"")</f>
        <v/>
      </c>
      <c r="BB321" s="1321" t="str">
        <f>IF(OR(V321="新加算Ⅴ（７）",V321="新加算Ⅴ（９）",V321="新加算Ⅴ（10）",V321="新加算Ⅴ（12）",V321="新加算Ⅴ（13）",V321="新加算Ⅴ（14）"),IF(AL321="○","","未入力"),"")</f>
        <v/>
      </c>
      <c r="BC321" s="1321" t="str">
        <f>IF(OR(V321="新加算Ⅰ",V321="新加算Ⅱ",V321="新加算Ⅲ",V321="新加算Ⅴ（１）",V321="新加算Ⅴ（３）",V321="新加算Ⅴ（８）"),IF(AM321="○","","未入力"),"")</f>
        <v/>
      </c>
      <c r="BD321" s="1588"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493" t="str">
        <f>IF(AND(U321&lt;&gt;"（参考）令和７年度の移行予定",OR(V321="新加算Ⅰ",V321="新加算Ⅴ（１）",V321="新加算Ⅴ（２）",V321="新加算Ⅴ（５）",V321="新加算Ⅴ（７）",V321="新加算Ⅴ（10）")),IF(AO321="","未入力",IF(AO321="いずれも取得していない","要件を満たさない","")),"")</f>
        <v/>
      </c>
      <c r="BF321" s="1493" t="str">
        <f>G318</f>
        <v/>
      </c>
      <c r="BG321" s="1493"/>
      <c r="BH321" s="1493"/>
    </row>
    <row r="322" spans="1:60" ht="30" customHeight="1">
      <c r="A322" s="1241">
        <v>78</v>
      </c>
      <c r="B322" s="1272" t="str">
        <f>IF(基本情報入力シート!C131="","",基本情報入力シート!C131)</f>
        <v/>
      </c>
      <c r="C322" s="1261"/>
      <c r="D322" s="1261"/>
      <c r="E322" s="1261"/>
      <c r="F322" s="1262"/>
      <c r="G322" s="1266" t="str">
        <f>IF(基本情報入力シート!M131="","",基本情報入力シート!M131)</f>
        <v/>
      </c>
      <c r="H322" s="1266" t="str">
        <f>IF(基本情報入力シート!R131="","",基本情報入力シート!R131)</f>
        <v/>
      </c>
      <c r="I322" s="1266" t="str">
        <f>IF(基本情報入力シート!W131="","",基本情報入力シート!W131)</f>
        <v/>
      </c>
      <c r="J322" s="1372" t="str">
        <f>IF(基本情報入力シート!X131="","",基本情報入力シート!X131)</f>
        <v/>
      </c>
      <c r="K322" s="1266" t="str">
        <f>IF(基本情報入力シート!Y131="","",基本情報入力シート!Y131)</f>
        <v/>
      </c>
      <c r="L322" s="1451" t="str">
        <f>IF(基本情報入力シート!AB131="","",基本情報入力シート!AB131)</f>
        <v/>
      </c>
      <c r="M322" s="1453" t="str">
        <f>IF(基本情報入力シート!AC131="","",基本情報入力シート!AC131)</f>
        <v/>
      </c>
      <c r="N322" s="647" t="str">
        <f>IF('別紙様式2-2（４・５月分）'!Q245="","",'別紙様式2-2（４・５月分）'!Q245)</f>
        <v/>
      </c>
      <c r="O322" s="1366" t="str">
        <f>IF(SUM('別紙様式2-2（４・５月分）'!R245:R247)=0,"",SUM('別紙様式2-2（４・５月分）'!R245:R247))</f>
        <v/>
      </c>
      <c r="P322" s="1380" t="str">
        <f>IFERROR(VLOOKUP('別紙様式2-2（４・５月分）'!AR245,【参考】数式用!$AT$5:$AU$22,2,FALSE),"")</f>
        <v/>
      </c>
      <c r="Q322" s="1381"/>
      <c r="R322" s="1382"/>
      <c r="S322" s="1392" t="str">
        <f>IFERROR(VLOOKUP(K322,【参考】数式用!$A$5:$AB$27,MATCH(P322,【参考】数式用!$B$4:$AB$4,0)+1,0),"")</f>
        <v/>
      </c>
      <c r="T322" s="1413" t="s">
        <v>2258</v>
      </c>
      <c r="U322" s="1562" t="str">
        <f>IF('別紙様式2-3（６月以降分）'!U322="","",'別紙様式2-3（６月以降分）'!U322)</f>
        <v/>
      </c>
      <c r="V322" s="1457" t="str">
        <f>IFERROR(VLOOKUP(K322,【参考】数式用!$A$5:$AB$27,MATCH(U322,【参考】数式用!$B$4:$AB$4,0)+1,0),"")</f>
        <v/>
      </c>
      <c r="W322" s="1350" t="s">
        <v>19</v>
      </c>
      <c r="X322" s="1534">
        <f>'別紙様式2-3（６月以降分）'!X322</f>
        <v>6</v>
      </c>
      <c r="Y322" s="1354" t="s">
        <v>10</v>
      </c>
      <c r="Z322" s="1534">
        <f>'別紙様式2-3（６月以降分）'!Z322</f>
        <v>6</v>
      </c>
      <c r="AA322" s="1354" t="s">
        <v>45</v>
      </c>
      <c r="AB322" s="1534">
        <f>'別紙様式2-3（６月以降分）'!AB322</f>
        <v>7</v>
      </c>
      <c r="AC322" s="1354" t="s">
        <v>10</v>
      </c>
      <c r="AD322" s="1534">
        <f>'別紙様式2-3（６月以降分）'!AD322</f>
        <v>3</v>
      </c>
      <c r="AE322" s="1354" t="s">
        <v>2172</v>
      </c>
      <c r="AF322" s="1354" t="s">
        <v>24</v>
      </c>
      <c r="AG322" s="1354">
        <f>IF(X322&gt;=1,(AB322*12+AD322)-(X322*12+Z322)+1,"")</f>
        <v>10</v>
      </c>
      <c r="AH322" s="1360" t="s">
        <v>38</v>
      </c>
      <c r="AI322" s="1481" t="str">
        <f>'別紙様式2-3（６月以降分）'!AI322</f>
        <v/>
      </c>
      <c r="AJ322" s="1542" t="str">
        <f>'別紙様式2-3（６月以降分）'!AJ322</f>
        <v/>
      </c>
      <c r="AK322" s="1538">
        <f>'別紙様式2-3（６月以降分）'!AK322</f>
        <v>0</v>
      </c>
      <c r="AL322" s="1540" t="str">
        <f>IF('別紙様式2-3（６月以降分）'!AL322="","",'別紙様式2-3（６月以降分）'!AL322)</f>
        <v/>
      </c>
      <c r="AM322" s="1571">
        <f>'別紙様式2-3（６月以降分）'!AM322</f>
        <v>0</v>
      </c>
      <c r="AN322" s="1573" t="str">
        <f>IF('別紙様式2-3（６月以降分）'!AN322="","",'別紙様式2-3（６月以降分）'!AN322)</f>
        <v/>
      </c>
      <c r="AO322" s="1403" t="str">
        <f>IF('別紙様式2-3（６月以降分）'!AO322="","",'別紙様式2-3（６月以降分）'!AO322)</f>
        <v/>
      </c>
      <c r="AP322" s="1502" t="str">
        <f>IF('別紙様式2-3（６月以降分）'!AP322="","",'別紙様式2-3（６月以降分）'!AP322)</f>
        <v/>
      </c>
      <c r="AQ322" s="1403" t="str">
        <f>IF('別紙様式2-3（６月以降分）'!AQ322="","",'別紙様式2-3（６月以降分）'!AQ322)</f>
        <v/>
      </c>
      <c r="AR322" s="1583" t="str">
        <f>IF('別紙様式2-3（６月以降分）'!AR322="","",'別紙様式2-3（６月以降分）'!AR322)</f>
        <v/>
      </c>
      <c r="AS322" s="1536" t="str">
        <f>IF('別紙様式2-3（６月以降分）'!AS322="","",'別紙様式2-3（６月以降分）'!AS322)</f>
        <v/>
      </c>
      <c r="AT322" s="667" t="str">
        <f t="shared" ref="AT322" si="377">IF(AV324="","",IF(V324&lt;V322,"！加算の要件上は問題ありませんが、令和６年度当初の新加算の加算率と比較して、移行後の加算率が下がる計画になっています。",""))</f>
        <v/>
      </c>
      <c r="AU322" s="674"/>
      <c r="AV322" s="1233"/>
      <c r="AW322" s="652" t="str">
        <f>IF('別紙様式2-2（４・５月分）'!O245="","",'別紙様式2-2（４・５月分）'!O245)</f>
        <v/>
      </c>
      <c r="AX322" s="1507" t="str">
        <f>IF(SUM('別紙様式2-2（４・５月分）'!P245:P247)=0,"",SUM('別紙様式2-2（４・５月分）'!P245:P247))</f>
        <v/>
      </c>
      <c r="AY322" s="1589" t="str">
        <f>IFERROR(VLOOKUP(K322,【参考】数式用!$AJ$2:$AK$24,2,FALSE),"")</f>
        <v/>
      </c>
      <c r="AZ322" s="584"/>
      <c r="BE322" s="428"/>
      <c r="BF322" s="1493" t="str">
        <f>G322</f>
        <v/>
      </c>
      <c r="BG322" s="1493"/>
      <c r="BH322" s="1493"/>
    </row>
    <row r="323" spans="1:60" ht="15" customHeight="1">
      <c r="A323" s="1226"/>
      <c r="B323" s="1272"/>
      <c r="C323" s="1261"/>
      <c r="D323" s="1261"/>
      <c r="E323" s="1261"/>
      <c r="F323" s="1262"/>
      <c r="G323" s="1266"/>
      <c r="H323" s="1266"/>
      <c r="I323" s="1266"/>
      <c r="J323" s="1372"/>
      <c r="K323" s="1266"/>
      <c r="L323" s="1451"/>
      <c r="M323" s="1453"/>
      <c r="N323" s="1370" t="str">
        <f>IF('別紙様式2-2（４・５月分）'!Q246="","",'別紙様式2-2（４・５月分）'!Q246)</f>
        <v/>
      </c>
      <c r="O323" s="1367"/>
      <c r="P323" s="1383"/>
      <c r="Q323" s="1384"/>
      <c r="R323" s="1385"/>
      <c r="S323" s="1393"/>
      <c r="T323" s="1414"/>
      <c r="U323" s="1563"/>
      <c r="V323" s="1458"/>
      <c r="W323" s="1351"/>
      <c r="X323" s="1535"/>
      <c r="Y323" s="1355"/>
      <c r="Z323" s="1535"/>
      <c r="AA323" s="1355"/>
      <c r="AB323" s="1535"/>
      <c r="AC323" s="1355"/>
      <c r="AD323" s="1535"/>
      <c r="AE323" s="1355"/>
      <c r="AF323" s="1355"/>
      <c r="AG323" s="1355"/>
      <c r="AH323" s="1361"/>
      <c r="AI323" s="1482"/>
      <c r="AJ323" s="1543"/>
      <c r="AK323" s="1539"/>
      <c r="AL323" s="1541"/>
      <c r="AM323" s="1572"/>
      <c r="AN323" s="1574"/>
      <c r="AO323" s="1404"/>
      <c r="AP323" s="1533"/>
      <c r="AQ323" s="1404"/>
      <c r="AR323" s="1584"/>
      <c r="AS323" s="1537"/>
      <c r="AT323" s="1532" t="str">
        <f t="shared" ref="AT323" si="378">IF(AV324="","",IF(OR(AB324="",AB324&lt;&gt;7,AD324="",AD324&lt;&gt;3),"！算定期間の終わりが令和７年３月になっていません。年度内の廃止予定等がなければ、算定対象月を令和７年３月にしてください。",""))</f>
        <v/>
      </c>
      <c r="AU323" s="674"/>
      <c r="AV323" s="1493"/>
      <c r="AW323" s="1518" t="str">
        <f>IF('別紙様式2-2（４・５月分）'!O246="","",'別紙様式2-2（４・５月分）'!O246)</f>
        <v/>
      </c>
      <c r="AX323" s="1507"/>
      <c r="AY323" s="1589"/>
      <c r="AZ323" s="521"/>
      <c r="BE323" s="428"/>
      <c r="BF323" s="1493" t="str">
        <f>G322</f>
        <v/>
      </c>
      <c r="BG323" s="1493"/>
      <c r="BH323" s="1493"/>
    </row>
    <row r="324" spans="1:60" ht="15" customHeight="1">
      <c r="A324" s="1240"/>
      <c r="B324" s="1272"/>
      <c r="C324" s="1261"/>
      <c r="D324" s="1261"/>
      <c r="E324" s="1261"/>
      <c r="F324" s="1262"/>
      <c r="G324" s="1266"/>
      <c r="H324" s="1266"/>
      <c r="I324" s="1266"/>
      <c r="J324" s="1372"/>
      <c r="K324" s="1266"/>
      <c r="L324" s="1451"/>
      <c r="M324" s="1453"/>
      <c r="N324" s="1371"/>
      <c r="O324" s="1368"/>
      <c r="P324" s="1390" t="s">
        <v>2179</v>
      </c>
      <c r="Q324" s="1504" t="str">
        <f>IFERROR(VLOOKUP('別紙様式2-2（４・５月分）'!AR245,【参考】数式用!$AT$5:$AV$22,3,FALSE),"")</f>
        <v/>
      </c>
      <c r="R324" s="1388" t="s">
        <v>2190</v>
      </c>
      <c r="S324" s="1394" t="str">
        <f>IFERROR(VLOOKUP(K322,【参考】数式用!$A$5:$AB$27,MATCH(Q324,【参考】数式用!$B$4:$AB$4,0)+1,0),"")</f>
        <v/>
      </c>
      <c r="T324" s="1459" t="s">
        <v>2267</v>
      </c>
      <c r="U324" s="1569"/>
      <c r="V324" s="1463" t="str">
        <f>IFERROR(VLOOKUP(K322,【参考】数式用!$A$5:$AB$27,MATCH(U324,【参考】数式用!$B$4:$AB$4,0)+1,0),"")</f>
        <v/>
      </c>
      <c r="W324" s="1465" t="s">
        <v>19</v>
      </c>
      <c r="X324" s="1564"/>
      <c r="Y324" s="1407" t="s">
        <v>10</v>
      </c>
      <c r="Z324" s="1564"/>
      <c r="AA324" s="1407" t="s">
        <v>45</v>
      </c>
      <c r="AB324" s="1564"/>
      <c r="AC324" s="1407" t="s">
        <v>10</v>
      </c>
      <c r="AD324" s="1564"/>
      <c r="AE324" s="1407" t="s">
        <v>2172</v>
      </c>
      <c r="AF324" s="1407" t="s">
        <v>24</v>
      </c>
      <c r="AG324" s="1407" t="str">
        <f>IF(X324&gt;=1,(AB324*12+AD324)-(X324*12+Z324)+1,"")</f>
        <v/>
      </c>
      <c r="AH324" s="1409" t="s">
        <v>38</v>
      </c>
      <c r="AI324" s="1411" t="str">
        <f t="shared" ref="AI324" si="379">IFERROR(ROUNDDOWN(ROUND(L322*V324,0)*M322,0)*AG324,"")</f>
        <v/>
      </c>
      <c r="AJ324" s="1577" t="str">
        <f>IFERROR(ROUNDDOWN(ROUND((L322*(V324-AX322)),0)*M322,0)*AG324,"")</f>
        <v/>
      </c>
      <c r="AK324" s="1494" t="str">
        <f>IFERROR(ROUNDDOWN(ROUNDDOWN(ROUND(L322*VLOOKUP(K322,【参考】数式用!$A$5:$AB$27,MATCH("新加算Ⅳ",【参考】数式用!$B$4:$AB$4,0)+1,0),0)*M322,0)*AG324*0.5,0),"")</f>
        <v/>
      </c>
      <c r="AL324" s="1579"/>
      <c r="AM324" s="1585" t="str">
        <f>IFERROR(IF('別紙様式2-2（４・５月分）'!Q247="ベア加算","", IF(OR(U324="新加算Ⅰ",U324="新加算Ⅱ",U324="新加算Ⅲ",U324="新加算Ⅳ"),ROUNDDOWN(ROUND(L322*VLOOKUP(K322,【参考】数式用!$A$5:$I$27,MATCH("ベア加算",【参考】数式用!$B$4:$I$4,0)+1,0),0)*M322,0)*AG324,"")),"")</f>
        <v/>
      </c>
      <c r="AN324" s="1548"/>
      <c r="AO324" s="1554"/>
      <c r="AP324" s="1552"/>
      <c r="AQ324" s="1554"/>
      <c r="AR324" s="1556"/>
      <c r="AS324" s="1558"/>
      <c r="AT324" s="1532"/>
      <c r="AU324" s="542"/>
      <c r="AV324" s="1493" t="str">
        <f t="shared" ref="AV324" si="380">IF(OR(AB322&lt;&gt;7,AD322&lt;&gt;3),"V列に色付け","")</f>
        <v/>
      </c>
      <c r="AW324" s="1518"/>
      <c r="AX324" s="1507"/>
      <c r="AY324" s="671"/>
      <c r="AZ324" s="1321" t="str">
        <f>IF(AM324&lt;&gt;"",IF(AN324="○","入力済","未入力"),"")</f>
        <v/>
      </c>
      <c r="BA324" s="1321"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321" t="str">
        <f>IF(OR(U324="新加算Ⅴ（７）",U324="新加算Ⅴ（９）",U324="新加算Ⅴ（10）",U324="新加算Ⅴ（12）",U324="新加算Ⅴ（13）",U324="新加算Ⅴ（14）"),IF(OR(AP324="○",AP324="令和６年度中に満たす"),"入力済","未入力"),"")</f>
        <v/>
      </c>
      <c r="BC324" s="1321" t="str">
        <f>IF(OR(U324="新加算Ⅰ",U324="新加算Ⅱ",U324="新加算Ⅲ",U324="新加算Ⅴ（１）",U324="新加算Ⅴ（３）",U324="新加算Ⅴ（８）"),IF(OR(AQ324="○",AQ324="令和６年度中に満たす"),"入力済","未入力"),"")</f>
        <v/>
      </c>
      <c r="BD324" s="1588"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493" t="str">
        <f>IF(OR(U324="新加算Ⅰ",U324="新加算Ⅴ（１）",U324="新加算Ⅴ（２）",U324="新加算Ⅴ（５）",U324="新加算Ⅴ（７）",U324="新加算Ⅴ（10）"),IF(AS324="","未入力","入力済"),"")</f>
        <v/>
      </c>
      <c r="BF324" s="1493" t="str">
        <f>G322</f>
        <v/>
      </c>
      <c r="BG324" s="1493"/>
      <c r="BH324" s="1493"/>
    </row>
    <row r="325" spans="1:60" ht="30" customHeight="1" thickBot="1">
      <c r="A325" s="1227"/>
      <c r="B325" s="1376"/>
      <c r="C325" s="1377"/>
      <c r="D325" s="1377"/>
      <c r="E325" s="1377"/>
      <c r="F325" s="1378"/>
      <c r="G325" s="1267"/>
      <c r="H325" s="1267"/>
      <c r="I325" s="1267"/>
      <c r="J325" s="1373"/>
      <c r="K325" s="1267"/>
      <c r="L325" s="1452"/>
      <c r="M325" s="1454"/>
      <c r="N325" s="650" t="str">
        <f>IF('別紙様式2-2（４・５月分）'!Q247="","",'別紙様式2-2（４・５月分）'!Q247)</f>
        <v/>
      </c>
      <c r="O325" s="1369"/>
      <c r="P325" s="1391"/>
      <c r="Q325" s="1505"/>
      <c r="R325" s="1389"/>
      <c r="S325" s="1395"/>
      <c r="T325" s="1460"/>
      <c r="U325" s="1570"/>
      <c r="V325" s="1464"/>
      <c r="W325" s="1466"/>
      <c r="X325" s="1565"/>
      <c r="Y325" s="1408"/>
      <c r="Z325" s="1565"/>
      <c r="AA325" s="1408"/>
      <c r="AB325" s="1565"/>
      <c r="AC325" s="1408"/>
      <c r="AD325" s="1565"/>
      <c r="AE325" s="1408"/>
      <c r="AF325" s="1408"/>
      <c r="AG325" s="1408"/>
      <c r="AH325" s="1410"/>
      <c r="AI325" s="1412"/>
      <c r="AJ325" s="1578"/>
      <c r="AK325" s="1495"/>
      <c r="AL325" s="1580"/>
      <c r="AM325" s="1586"/>
      <c r="AN325" s="1549"/>
      <c r="AO325" s="1555"/>
      <c r="AP325" s="1553"/>
      <c r="AQ325" s="1555"/>
      <c r="AR325" s="1557"/>
      <c r="AS325" s="1559"/>
      <c r="AT325" s="672" t="str">
        <f t="shared" ref="AT325" si="381">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42"/>
      <c r="AV325" s="1493"/>
      <c r="AW325" s="652" t="str">
        <f>IF('別紙様式2-2（４・５月分）'!O247="","",'別紙様式2-2（４・５月分）'!O247)</f>
        <v/>
      </c>
      <c r="AX325" s="1507"/>
      <c r="AY325" s="673"/>
      <c r="AZ325" s="1321" t="str">
        <f>IF(OR(U325="新加算Ⅰ",U325="新加算Ⅱ",U325="新加算Ⅲ",U325="新加算Ⅳ",U325="新加算Ⅴ（１）",U325="新加算Ⅴ（２）",U325="新加算Ⅴ（３）",U325="新加算ⅠⅤ（４）",U325="新加算Ⅴ（５）",U325="新加算Ⅴ（６）",U325="新加算Ⅴ（８）",U325="新加算Ⅴ（11）"),IF(AJ325="○","","未入力"),"")</f>
        <v/>
      </c>
      <c r="BA325" s="1321" t="str">
        <f>IF(OR(V325="新加算Ⅰ",V325="新加算Ⅱ",V325="新加算Ⅲ",V325="新加算Ⅳ",V325="新加算Ⅴ（１）",V325="新加算Ⅴ（２）",V325="新加算Ⅴ（３）",V325="新加算ⅠⅤ（４）",V325="新加算Ⅴ（５）",V325="新加算Ⅴ（６）",V325="新加算Ⅴ（８）",V325="新加算Ⅴ（11）"),IF(AK325="○","","未入力"),"")</f>
        <v/>
      </c>
      <c r="BB325" s="1321" t="str">
        <f>IF(OR(V325="新加算Ⅴ（７）",V325="新加算Ⅴ（９）",V325="新加算Ⅴ（10）",V325="新加算Ⅴ（12）",V325="新加算Ⅴ（13）",V325="新加算Ⅴ（14）"),IF(AL325="○","","未入力"),"")</f>
        <v/>
      </c>
      <c r="BC325" s="1321" t="str">
        <f>IF(OR(V325="新加算Ⅰ",V325="新加算Ⅱ",V325="新加算Ⅲ",V325="新加算Ⅴ（１）",V325="新加算Ⅴ（３）",V325="新加算Ⅴ（８）"),IF(AM325="○","","未入力"),"")</f>
        <v/>
      </c>
      <c r="BD325" s="1588"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493" t="str">
        <f>IF(AND(U325&lt;&gt;"（参考）令和７年度の移行予定",OR(V325="新加算Ⅰ",V325="新加算Ⅴ（１）",V325="新加算Ⅴ（２）",V325="新加算Ⅴ（５）",V325="新加算Ⅴ（７）",V325="新加算Ⅴ（10）")),IF(AO325="","未入力",IF(AO325="いずれも取得していない","要件を満たさない","")),"")</f>
        <v/>
      </c>
      <c r="BF325" s="1493" t="str">
        <f>G322</f>
        <v/>
      </c>
      <c r="BG325" s="1493"/>
      <c r="BH325" s="1493"/>
    </row>
    <row r="326" spans="1:60" ht="30" customHeight="1">
      <c r="A326" s="1225">
        <v>79</v>
      </c>
      <c r="B326" s="1271" t="str">
        <f>IF(基本情報入力シート!C132="","",基本情報入力シート!C132)</f>
        <v/>
      </c>
      <c r="C326" s="1259"/>
      <c r="D326" s="1259"/>
      <c r="E326" s="1259"/>
      <c r="F326" s="1260"/>
      <c r="G326" s="1265" t="str">
        <f>IF(基本情報入力シート!M132="","",基本情報入力シート!M132)</f>
        <v/>
      </c>
      <c r="H326" s="1265" t="str">
        <f>IF(基本情報入力シート!R132="","",基本情報入力シート!R132)</f>
        <v/>
      </c>
      <c r="I326" s="1265" t="str">
        <f>IF(基本情報入力シート!W132="","",基本情報入力シート!W132)</f>
        <v/>
      </c>
      <c r="J326" s="1379" t="str">
        <f>IF(基本情報入力シート!X132="","",基本情報入力シート!X132)</f>
        <v/>
      </c>
      <c r="K326" s="1265" t="str">
        <f>IF(基本情報入力シート!Y132="","",基本情報入力シート!Y132)</f>
        <v/>
      </c>
      <c r="L326" s="1450" t="str">
        <f>IF(基本情報入力シート!AB132="","",基本情報入力シート!AB132)</f>
        <v/>
      </c>
      <c r="M326" s="1447" t="str">
        <f>IF(基本情報入力シート!AC132="","",基本情報入力シート!AC132)</f>
        <v/>
      </c>
      <c r="N326" s="647" t="str">
        <f>IF('別紙様式2-2（４・５月分）'!Q248="","",'別紙様式2-2（４・５月分）'!Q248)</f>
        <v/>
      </c>
      <c r="O326" s="1366" t="str">
        <f>IF(SUM('別紙様式2-2（４・５月分）'!R248:R250)=0,"",SUM('別紙様式2-2（４・５月分）'!R248:R250))</f>
        <v/>
      </c>
      <c r="P326" s="1380" t="str">
        <f>IFERROR(VLOOKUP('別紙様式2-2（４・５月分）'!AR248,【参考】数式用!$AT$5:$AU$22,2,FALSE),"")</f>
        <v/>
      </c>
      <c r="Q326" s="1381"/>
      <c r="R326" s="1382"/>
      <c r="S326" s="1392" t="str">
        <f>IFERROR(VLOOKUP(K326,【参考】数式用!$A$5:$AB$27,MATCH(P326,【参考】数式用!$B$4:$AB$4,0)+1,0),"")</f>
        <v/>
      </c>
      <c r="T326" s="1413" t="s">
        <v>2258</v>
      </c>
      <c r="U326" s="1562" t="str">
        <f>IF('別紙様式2-3（６月以降分）'!U326="","",'別紙様式2-3（６月以降分）'!U326)</f>
        <v/>
      </c>
      <c r="V326" s="1457" t="str">
        <f>IFERROR(VLOOKUP(K326,【参考】数式用!$A$5:$AB$27,MATCH(U326,【参考】数式用!$B$4:$AB$4,0)+1,0),"")</f>
        <v/>
      </c>
      <c r="W326" s="1350" t="s">
        <v>19</v>
      </c>
      <c r="X326" s="1534">
        <f>'別紙様式2-3（６月以降分）'!X326</f>
        <v>6</v>
      </c>
      <c r="Y326" s="1354" t="s">
        <v>10</v>
      </c>
      <c r="Z326" s="1534">
        <f>'別紙様式2-3（６月以降分）'!Z326</f>
        <v>6</v>
      </c>
      <c r="AA326" s="1354" t="s">
        <v>45</v>
      </c>
      <c r="AB326" s="1534">
        <f>'別紙様式2-3（６月以降分）'!AB326</f>
        <v>7</v>
      </c>
      <c r="AC326" s="1354" t="s">
        <v>10</v>
      </c>
      <c r="AD326" s="1534">
        <f>'別紙様式2-3（６月以降分）'!AD326</f>
        <v>3</v>
      </c>
      <c r="AE326" s="1354" t="s">
        <v>2172</v>
      </c>
      <c r="AF326" s="1354" t="s">
        <v>24</v>
      </c>
      <c r="AG326" s="1354">
        <f>IF(X326&gt;=1,(AB326*12+AD326)-(X326*12+Z326)+1,"")</f>
        <v>10</v>
      </c>
      <c r="AH326" s="1360" t="s">
        <v>38</v>
      </c>
      <c r="AI326" s="1481" t="str">
        <f>'別紙様式2-3（６月以降分）'!AI326</f>
        <v/>
      </c>
      <c r="AJ326" s="1542" t="str">
        <f>'別紙様式2-3（６月以降分）'!AJ326</f>
        <v/>
      </c>
      <c r="AK326" s="1538">
        <f>'別紙様式2-3（６月以降分）'!AK326</f>
        <v>0</v>
      </c>
      <c r="AL326" s="1540" t="str">
        <f>IF('別紙様式2-3（６月以降分）'!AL326="","",'別紙様式2-3（６月以降分）'!AL326)</f>
        <v/>
      </c>
      <c r="AM326" s="1571">
        <f>'別紙様式2-3（６月以降分）'!AM326</f>
        <v>0</v>
      </c>
      <c r="AN326" s="1573" t="str">
        <f>IF('別紙様式2-3（６月以降分）'!AN326="","",'別紙様式2-3（６月以降分）'!AN326)</f>
        <v/>
      </c>
      <c r="AO326" s="1403" t="str">
        <f>IF('別紙様式2-3（６月以降分）'!AO326="","",'別紙様式2-3（６月以降分）'!AO326)</f>
        <v/>
      </c>
      <c r="AP326" s="1502" t="str">
        <f>IF('別紙様式2-3（６月以降分）'!AP326="","",'別紙様式2-3（６月以降分）'!AP326)</f>
        <v/>
      </c>
      <c r="AQ326" s="1403" t="str">
        <f>IF('別紙様式2-3（６月以降分）'!AQ326="","",'別紙様式2-3（６月以降分）'!AQ326)</f>
        <v/>
      </c>
      <c r="AR326" s="1583" t="str">
        <f>IF('別紙様式2-3（６月以降分）'!AR326="","",'別紙様式2-3（６月以降分）'!AR326)</f>
        <v/>
      </c>
      <c r="AS326" s="1536" t="str">
        <f>IF('別紙様式2-3（６月以降分）'!AS326="","",'別紙様式2-3（６月以降分）'!AS326)</f>
        <v/>
      </c>
      <c r="AT326" s="667" t="str">
        <f t="shared" ref="AT326" si="382">IF(AV328="","",IF(V328&lt;V326,"！加算の要件上は問題ありませんが、令和６年度当初の新加算の加算率と比較して、移行後の加算率が下がる計画になっています。",""))</f>
        <v/>
      </c>
      <c r="AU326" s="674"/>
      <c r="AV326" s="1233"/>
      <c r="AW326" s="652" t="str">
        <f>IF('別紙様式2-2（４・５月分）'!O248="","",'別紙様式2-2（４・５月分）'!O248)</f>
        <v/>
      </c>
      <c r="AX326" s="1507" t="str">
        <f>IF(SUM('別紙様式2-2（４・５月分）'!P248:P250)=0,"",SUM('別紙様式2-2（４・５月分）'!P248:P250))</f>
        <v/>
      </c>
      <c r="AY326" s="1590" t="str">
        <f>IFERROR(VLOOKUP(K326,【参考】数式用!$AJ$2:$AK$24,2,FALSE),"")</f>
        <v/>
      </c>
      <c r="AZ326" s="584"/>
      <c r="BE326" s="428"/>
      <c r="BF326" s="1493" t="str">
        <f>G326</f>
        <v/>
      </c>
      <c r="BG326" s="1493"/>
      <c r="BH326" s="1493"/>
    </row>
    <row r="327" spans="1:60" ht="15" customHeight="1">
      <c r="A327" s="1226"/>
      <c r="B327" s="1272"/>
      <c r="C327" s="1261"/>
      <c r="D327" s="1261"/>
      <c r="E327" s="1261"/>
      <c r="F327" s="1262"/>
      <c r="G327" s="1266"/>
      <c r="H327" s="1266"/>
      <c r="I327" s="1266"/>
      <c r="J327" s="1372"/>
      <c r="K327" s="1266"/>
      <c r="L327" s="1451"/>
      <c r="M327" s="1448"/>
      <c r="N327" s="1370" t="str">
        <f>IF('別紙様式2-2（４・５月分）'!Q249="","",'別紙様式2-2（４・５月分）'!Q249)</f>
        <v/>
      </c>
      <c r="O327" s="1367"/>
      <c r="P327" s="1383"/>
      <c r="Q327" s="1384"/>
      <c r="R327" s="1385"/>
      <c r="S327" s="1393"/>
      <c r="T327" s="1414"/>
      <c r="U327" s="1563"/>
      <c r="V327" s="1458"/>
      <c r="W327" s="1351"/>
      <c r="X327" s="1535"/>
      <c r="Y327" s="1355"/>
      <c r="Z327" s="1535"/>
      <c r="AA327" s="1355"/>
      <c r="AB327" s="1535"/>
      <c r="AC327" s="1355"/>
      <c r="AD327" s="1535"/>
      <c r="AE327" s="1355"/>
      <c r="AF327" s="1355"/>
      <c r="AG327" s="1355"/>
      <c r="AH327" s="1361"/>
      <c r="AI327" s="1482"/>
      <c r="AJ327" s="1543"/>
      <c r="AK327" s="1539"/>
      <c r="AL327" s="1541"/>
      <c r="AM327" s="1572"/>
      <c r="AN327" s="1574"/>
      <c r="AO327" s="1404"/>
      <c r="AP327" s="1533"/>
      <c r="AQ327" s="1404"/>
      <c r="AR327" s="1584"/>
      <c r="AS327" s="1537"/>
      <c r="AT327" s="1532" t="str">
        <f t="shared" ref="AT327" si="383">IF(AV328="","",IF(OR(AB328="",AB328&lt;&gt;7,AD328="",AD328&lt;&gt;3),"！算定期間の終わりが令和７年３月になっていません。年度内の廃止予定等がなければ、算定対象月を令和７年３月にしてください。",""))</f>
        <v/>
      </c>
      <c r="AU327" s="674"/>
      <c r="AV327" s="1493"/>
      <c r="AW327" s="1518" t="str">
        <f>IF('別紙様式2-2（４・５月分）'!O249="","",'別紙様式2-2（４・５月分）'!O249)</f>
        <v/>
      </c>
      <c r="AX327" s="1507"/>
      <c r="AY327" s="1589"/>
      <c r="AZ327" s="521"/>
      <c r="BE327" s="428"/>
      <c r="BF327" s="1493" t="str">
        <f>G326</f>
        <v/>
      </c>
      <c r="BG327" s="1493"/>
      <c r="BH327" s="1493"/>
    </row>
    <row r="328" spans="1:60" ht="15" customHeight="1">
      <c r="A328" s="1240"/>
      <c r="B328" s="1272"/>
      <c r="C328" s="1261"/>
      <c r="D328" s="1261"/>
      <c r="E328" s="1261"/>
      <c r="F328" s="1262"/>
      <c r="G328" s="1266"/>
      <c r="H328" s="1266"/>
      <c r="I328" s="1266"/>
      <c r="J328" s="1372"/>
      <c r="K328" s="1266"/>
      <c r="L328" s="1451"/>
      <c r="M328" s="1448"/>
      <c r="N328" s="1371"/>
      <c r="O328" s="1368"/>
      <c r="P328" s="1390" t="s">
        <v>2179</v>
      </c>
      <c r="Q328" s="1504" t="str">
        <f>IFERROR(VLOOKUP('別紙様式2-2（４・５月分）'!AR248,【参考】数式用!$AT$5:$AV$22,3,FALSE),"")</f>
        <v/>
      </c>
      <c r="R328" s="1388" t="s">
        <v>2190</v>
      </c>
      <c r="S328" s="1396" t="str">
        <f>IFERROR(VLOOKUP(K326,【参考】数式用!$A$5:$AB$27,MATCH(Q328,【参考】数式用!$B$4:$AB$4,0)+1,0),"")</f>
        <v/>
      </c>
      <c r="T328" s="1459" t="s">
        <v>2267</v>
      </c>
      <c r="U328" s="1569"/>
      <c r="V328" s="1463" t="str">
        <f>IFERROR(VLOOKUP(K326,【参考】数式用!$A$5:$AB$27,MATCH(U328,【参考】数式用!$B$4:$AB$4,0)+1,0),"")</f>
        <v/>
      </c>
      <c r="W328" s="1465" t="s">
        <v>19</v>
      </c>
      <c r="X328" s="1564"/>
      <c r="Y328" s="1407" t="s">
        <v>10</v>
      </c>
      <c r="Z328" s="1564"/>
      <c r="AA328" s="1407" t="s">
        <v>45</v>
      </c>
      <c r="AB328" s="1564"/>
      <c r="AC328" s="1407" t="s">
        <v>10</v>
      </c>
      <c r="AD328" s="1564"/>
      <c r="AE328" s="1407" t="s">
        <v>2172</v>
      </c>
      <c r="AF328" s="1407" t="s">
        <v>24</v>
      </c>
      <c r="AG328" s="1407" t="str">
        <f>IF(X328&gt;=1,(AB328*12+AD328)-(X328*12+Z328)+1,"")</f>
        <v/>
      </c>
      <c r="AH328" s="1409" t="s">
        <v>38</v>
      </c>
      <c r="AI328" s="1411" t="str">
        <f t="shared" ref="AI328" si="384">IFERROR(ROUNDDOWN(ROUND(L326*V328,0)*M326,0)*AG328,"")</f>
        <v/>
      </c>
      <c r="AJ328" s="1577" t="str">
        <f>IFERROR(ROUNDDOWN(ROUND((L326*(V328-AX326)),0)*M326,0)*AG328,"")</f>
        <v/>
      </c>
      <c r="AK328" s="1494" t="str">
        <f>IFERROR(ROUNDDOWN(ROUNDDOWN(ROUND(L326*VLOOKUP(K326,【参考】数式用!$A$5:$AB$27,MATCH("新加算Ⅳ",【参考】数式用!$B$4:$AB$4,0)+1,0),0)*M326,0)*AG328*0.5,0),"")</f>
        <v/>
      </c>
      <c r="AL328" s="1579"/>
      <c r="AM328" s="1585" t="str">
        <f>IFERROR(IF('別紙様式2-2（４・５月分）'!Q250="ベア加算","", IF(OR(U328="新加算Ⅰ",U328="新加算Ⅱ",U328="新加算Ⅲ",U328="新加算Ⅳ"),ROUNDDOWN(ROUND(L326*VLOOKUP(K326,【参考】数式用!$A$5:$I$27,MATCH("ベア加算",【参考】数式用!$B$4:$I$4,0)+1,0),0)*M326,0)*AG328,"")),"")</f>
        <v/>
      </c>
      <c r="AN328" s="1548"/>
      <c r="AO328" s="1554"/>
      <c r="AP328" s="1552"/>
      <c r="AQ328" s="1554"/>
      <c r="AR328" s="1556"/>
      <c r="AS328" s="1558"/>
      <c r="AT328" s="1532"/>
      <c r="AU328" s="542"/>
      <c r="AV328" s="1493" t="str">
        <f t="shared" ref="AV328" si="385">IF(OR(AB326&lt;&gt;7,AD326&lt;&gt;3),"V列に色付け","")</f>
        <v/>
      </c>
      <c r="AW328" s="1518"/>
      <c r="AX328" s="1507"/>
      <c r="AY328" s="671"/>
      <c r="AZ328" s="1321" t="str">
        <f>IF(AM328&lt;&gt;"",IF(AN328="○","入力済","未入力"),"")</f>
        <v/>
      </c>
      <c r="BA328" s="1321"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321" t="str">
        <f>IF(OR(U328="新加算Ⅴ（７）",U328="新加算Ⅴ（９）",U328="新加算Ⅴ（10）",U328="新加算Ⅴ（12）",U328="新加算Ⅴ（13）",U328="新加算Ⅴ（14）"),IF(OR(AP328="○",AP328="令和６年度中に満たす"),"入力済","未入力"),"")</f>
        <v/>
      </c>
      <c r="BC328" s="1321" t="str">
        <f>IF(OR(U328="新加算Ⅰ",U328="新加算Ⅱ",U328="新加算Ⅲ",U328="新加算Ⅴ（１）",U328="新加算Ⅴ（３）",U328="新加算Ⅴ（８）"),IF(OR(AQ328="○",AQ328="令和６年度中に満たす"),"入力済","未入力"),"")</f>
        <v/>
      </c>
      <c r="BD328" s="1588"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493" t="str">
        <f>IF(OR(U328="新加算Ⅰ",U328="新加算Ⅴ（１）",U328="新加算Ⅴ（２）",U328="新加算Ⅴ（５）",U328="新加算Ⅴ（７）",U328="新加算Ⅴ（10）"),IF(AS328="","未入力","入力済"),"")</f>
        <v/>
      </c>
      <c r="BF328" s="1493" t="str">
        <f>G326</f>
        <v/>
      </c>
      <c r="BG328" s="1493"/>
      <c r="BH328" s="1493"/>
    </row>
    <row r="329" spans="1:60" ht="30" customHeight="1" thickBot="1">
      <c r="A329" s="1227"/>
      <c r="B329" s="1376"/>
      <c r="C329" s="1377"/>
      <c r="D329" s="1377"/>
      <c r="E329" s="1377"/>
      <c r="F329" s="1378"/>
      <c r="G329" s="1267"/>
      <c r="H329" s="1267"/>
      <c r="I329" s="1267"/>
      <c r="J329" s="1373"/>
      <c r="K329" s="1267"/>
      <c r="L329" s="1452"/>
      <c r="M329" s="1449"/>
      <c r="N329" s="650" t="str">
        <f>IF('別紙様式2-2（４・５月分）'!Q250="","",'別紙様式2-2（４・５月分）'!Q250)</f>
        <v/>
      </c>
      <c r="O329" s="1369"/>
      <c r="P329" s="1391"/>
      <c r="Q329" s="1505"/>
      <c r="R329" s="1389"/>
      <c r="S329" s="1395"/>
      <c r="T329" s="1460"/>
      <c r="U329" s="1570"/>
      <c r="V329" s="1464"/>
      <c r="W329" s="1466"/>
      <c r="X329" s="1565"/>
      <c r="Y329" s="1408"/>
      <c r="Z329" s="1565"/>
      <c r="AA329" s="1408"/>
      <c r="AB329" s="1565"/>
      <c r="AC329" s="1408"/>
      <c r="AD329" s="1565"/>
      <c r="AE329" s="1408"/>
      <c r="AF329" s="1408"/>
      <c r="AG329" s="1408"/>
      <c r="AH329" s="1410"/>
      <c r="AI329" s="1412"/>
      <c r="AJ329" s="1578"/>
      <c r="AK329" s="1495"/>
      <c r="AL329" s="1580"/>
      <c r="AM329" s="1586"/>
      <c r="AN329" s="1549"/>
      <c r="AO329" s="1555"/>
      <c r="AP329" s="1553"/>
      <c r="AQ329" s="1555"/>
      <c r="AR329" s="1557"/>
      <c r="AS329" s="1559"/>
      <c r="AT329" s="672" t="str">
        <f t="shared" ref="AT329" si="386">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42"/>
      <c r="AV329" s="1493"/>
      <c r="AW329" s="652" t="str">
        <f>IF('別紙様式2-2（４・５月分）'!O250="","",'別紙様式2-2（４・５月分）'!O250)</f>
        <v/>
      </c>
      <c r="AX329" s="1507"/>
      <c r="AY329" s="673"/>
      <c r="AZ329" s="1321" t="str">
        <f>IF(OR(U329="新加算Ⅰ",U329="新加算Ⅱ",U329="新加算Ⅲ",U329="新加算Ⅳ",U329="新加算Ⅴ（１）",U329="新加算Ⅴ（２）",U329="新加算Ⅴ（３）",U329="新加算ⅠⅤ（４）",U329="新加算Ⅴ（５）",U329="新加算Ⅴ（６）",U329="新加算Ⅴ（８）",U329="新加算Ⅴ（11）"),IF(AJ329="○","","未入力"),"")</f>
        <v/>
      </c>
      <c r="BA329" s="1321" t="str">
        <f>IF(OR(V329="新加算Ⅰ",V329="新加算Ⅱ",V329="新加算Ⅲ",V329="新加算Ⅳ",V329="新加算Ⅴ（１）",V329="新加算Ⅴ（２）",V329="新加算Ⅴ（３）",V329="新加算ⅠⅤ（４）",V329="新加算Ⅴ（５）",V329="新加算Ⅴ（６）",V329="新加算Ⅴ（８）",V329="新加算Ⅴ（11）"),IF(AK329="○","","未入力"),"")</f>
        <v/>
      </c>
      <c r="BB329" s="1321" t="str">
        <f>IF(OR(V329="新加算Ⅴ（７）",V329="新加算Ⅴ（９）",V329="新加算Ⅴ（10）",V329="新加算Ⅴ（12）",V329="新加算Ⅴ（13）",V329="新加算Ⅴ（14）"),IF(AL329="○","","未入力"),"")</f>
        <v/>
      </c>
      <c r="BC329" s="1321" t="str">
        <f>IF(OR(V329="新加算Ⅰ",V329="新加算Ⅱ",V329="新加算Ⅲ",V329="新加算Ⅴ（１）",V329="新加算Ⅴ（３）",V329="新加算Ⅴ（８）"),IF(AM329="○","","未入力"),"")</f>
        <v/>
      </c>
      <c r="BD329" s="1588"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493" t="str">
        <f>IF(AND(U329&lt;&gt;"（参考）令和７年度の移行予定",OR(V329="新加算Ⅰ",V329="新加算Ⅴ（１）",V329="新加算Ⅴ（２）",V329="新加算Ⅴ（５）",V329="新加算Ⅴ（７）",V329="新加算Ⅴ（10）")),IF(AO329="","未入力",IF(AO329="いずれも取得していない","要件を満たさない","")),"")</f>
        <v/>
      </c>
      <c r="BF329" s="1493" t="str">
        <f>G326</f>
        <v/>
      </c>
      <c r="BG329" s="1493"/>
      <c r="BH329" s="1493"/>
    </row>
    <row r="330" spans="1:60" ht="30" customHeight="1">
      <c r="A330" s="1241">
        <v>80</v>
      </c>
      <c r="B330" s="1272" t="str">
        <f>IF(基本情報入力シート!C133="","",基本情報入力シート!C133)</f>
        <v/>
      </c>
      <c r="C330" s="1261"/>
      <c r="D330" s="1261"/>
      <c r="E330" s="1261"/>
      <c r="F330" s="1262"/>
      <c r="G330" s="1266" t="str">
        <f>IF(基本情報入力シート!M133="","",基本情報入力シート!M133)</f>
        <v/>
      </c>
      <c r="H330" s="1266" t="str">
        <f>IF(基本情報入力シート!R133="","",基本情報入力シート!R133)</f>
        <v/>
      </c>
      <c r="I330" s="1266" t="str">
        <f>IF(基本情報入力シート!W133="","",基本情報入力シート!W133)</f>
        <v/>
      </c>
      <c r="J330" s="1372" t="str">
        <f>IF(基本情報入力シート!X133="","",基本情報入力シート!X133)</f>
        <v/>
      </c>
      <c r="K330" s="1266" t="str">
        <f>IF(基本情報入力シート!Y133="","",基本情報入力シート!Y133)</f>
        <v/>
      </c>
      <c r="L330" s="1451" t="str">
        <f>IF(基本情報入力シート!AB133="","",基本情報入力シート!AB133)</f>
        <v/>
      </c>
      <c r="M330" s="1453" t="str">
        <f>IF(基本情報入力シート!AC133="","",基本情報入力シート!AC133)</f>
        <v/>
      </c>
      <c r="N330" s="647" t="str">
        <f>IF('別紙様式2-2（４・５月分）'!Q251="","",'別紙様式2-2（４・５月分）'!Q251)</f>
        <v/>
      </c>
      <c r="O330" s="1366" t="str">
        <f>IF(SUM('別紙様式2-2（４・５月分）'!R251:R253)=0,"",SUM('別紙様式2-2（４・５月分）'!R251:R253))</f>
        <v/>
      </c>
      <c r="P330" s="1380" t="str">
        <f>IFERROR(VLOOKUP('別紙様式2-2（４・５月分）'!AR251,【参考】数式用!$AT$5:$AU$22,2,FALSE),"")</f>
        <v/>
      </c>
      <c r="Q330" s="1381"/>
      <c r="R330" s="1382"/>
      <c r="S330" s="1392" t="str">
        <f>IFERROR(VLOOKUP(K330,【参考】数式用!$A$5:$AB$27,MATCH(P330,【参考】数式用!$B$4:$AB$4,0)+1,0),"")</f>
        <v/>
      </c>
      <c r="T330" s="1413" t="s">
        <v>2258</v>
      </c>
      <c r="U330" s="1562" t="str">
        <f>IF('別紙様式2-3（６月以降分）'!U330="","",'別紙様式2-3（６月以降分）'!U330)</f>
        <v/>
      </c>
      <c r="V330" s="1457" t="str">
        <f>IFERROR(VLOOKUP(K330,【参考】数式用!$A$5:$AB$27,MATCH(U330,【参考】数式用!$B$4:$AB$4,0)+1,0),"")</f>
        <v/>
      </c>
      <c r="W330" s="1350" t="s">
        <v>19</v>
      </c>
      <c r="X330" s="1534">
        <f>'別紙様式2-3（６月以降分）'!X330</f>
        <v>6</v>
      </c>
      <c r="Y330" s="1354" t="s">
        <v>10</v>
      </c>
      <c r="Z330" s="1534">
        <f>'別紙様式2-3（６月以降分）'!Z330</f>
        <v>6</v>
      </c>
      <c r="AA330" s="1354" t="s">
        <v>45</v>
      </c>
      <c r="AB330" s="1534">
        <f>'別紙様式2-3（６月以降分）'!AB330</f>
        <v>7</v>
      </c>
      <c r="AC330" s="1354" t="s">
        <v>10</v>
      </c>
      <c r="AD330" s="1534">
        <f>'別紙様式2-3（６月以降分）'!AD330</f>
        <v>3</v>
      </c>
      <c r="AE330" s="1354" t="s">
        <v>2172</v>
      </c>
      <c r="AF330" s="1354" t="s">
        <v>24</v>
      </c>
      <c r="AG330" s="1354">
        <f>IF(X330&gt;=1,(AB330*12+AD330)-(X330*12+Z330)+1,"")</f>
        <v>10</v>
      </c>
      <c r="AH330" s="1360" t="s">
        <v>38</v>
      </c>
      <c r="AI330" s="1481" t="str">
        <f>'別紙様式2-3（６月以降分）'!AI330</f>
        <v/>
      </c>
      <c r="AJ330" s="1542" t="str">
        <f>'別紙様式2-3（６月以降分）'!AJ330</f>
        <v/>
      </c>
      <c r="AK330" s="1538">
        <f>'別紙様式2-3（６月以降分）'!AK330</f>
        <v>0</v>
      </c>
      <c r="AL330" s="1540" t="str">
        <f>IF('別紙様式2-3（６月以降分）'!AL330="","",'別紙様式2-3（６月以降分）'!AL330)</f>
        <v/>
      </c>
      <c r="AM330" s="1571">
        <f>'別紙様式2-3（６月以降分）'!AM330</f>
        <v>0</v>
      </c>
      <c r="AN330" s="1573" t="str">
        <f>IF('別紙様式2-3（６月以降分）'!AN330="","",'別紙様式2-3（６月以降分）'!AN330)</f>
        <v/>
      </c>
      <c r="AO330" s="1403" t="str">
        <f>IF('別紙様式2-3（６月以降分）'!AO330="","",'別紙様式2-3（６月以降分）'!AO330)</f>
        <v/>
      </c>
      <c r="AP330" s="1502" t="str">
        <f>IF('別紙様式2-3（６月以降分）'!AP330="","",'別紙様式2-3（６月以降分）'!AP330)</f>
        <v/>
      </c>
      <c r="AQ330" s="1403" t="str">
        <f>IF('別紙様式2-3（６月以降分）'!AQ330="","",'別紙様式2-3（６月以降分）'!AQ330)</f>
        <v/>
      </c>
      <c r="AR330" s="1583" t="str">
        <f>IF('別紙様式2-3（６月以降分）'!AR330="","",'別紙様式2-3（６月以降分）'!AR330)</f>
        <v/>
      </c>
      <c r="AS330" s="1536" t="str">
        <f>IF('別紙様式2-3（６月以降分）'!AS330="","",'別紙様式2-3（６月以降分）'!AS330)</f>
        <v/>
      </c>
      <c r="AT330" s="667" t="str">
        <f t="shared" ref="AT330" si="387">IF(AV332="","",IF(V332&lt;V330,"！加算の要件上は問題ありませんが、令和６年度当初の新加算の加算率と比較して、移行後の加算率が下がる計画になっています。",""))</f>
        <v/>
      </c>
      <c r="AU330" s="674"/>
      <c r="AV330" s="1233"/>
      <c r="AW330" s="652" t="str">
        <f>IF('別紙様式2-2（４・５月分）'!O251="","",'別紙様式2-2（４・５月分）'!O251)</f>
        <v/>
      </c>
      <c r="AX330" s="1507" t="str">
        <f>IF(SUM('別紙様式2-2（４・５月分）'!P251:P253)=0,"",SUM('別紙様式2-2（４・５月分）'!P251:P253))</f>
        <v/>
      </c>
      <c r="AY330" s="1589" t="str">
        <f>IFERROR(VLOOKUP(K330,【参考】数式用!$AJ$2:$AK$24,2,FALSE),"")</f>
        <v/>
      </c>
      <c r="AZ330" s="584"/>
      <c r="BE330" s="428"/>
      <c r="BF330" s="1493" t="str">
        <f>G330</f>
        <v/>
      </c>
      <c r="BG330" s="1493"/>
      <c r="BH330" s="1493"/>
    </row>
    <row r="331" spans="1:60" ht="15" customHeight="1">
      <c r="A331" s="1226"/>
      <c r="B331" s="1272"/>
      <c r="C331" s="1261"/>
      <c r="D331" s="1261"/>
      <c r="E331" s="1261"/>
      <c r="F331" s="1262"/>
      <c r="G331" s="1266"/>
      <c r="H331" s="1266"/>
      <c r="I331" s="1266"/>
      <c r="J331" s="1372"/>
      <c r="K331" s="1266"/>
      <c r="L331" s="1451"/>
      <c r="M331" s="1453"/>
      <c r="N331" s="1370" t="str">
        <f>IF('別紙様式2-2（４・５月分）'!Q252="","",'別紙様式2-2（４・５月分）'!Q252)</f>
        <v/>
      </c>
      <c r="O331" s="1367"/>
      <c r="P331" s="1383"/>
      <c r="Q331" s="1384"/>
      <c r="R331" s="1385"/>
      <c r="S331" s="1393"/>
      <c r="T331" s="1414"/>
      <c r="U331" s="1563"/>
      <c r="V331" s="1458"/>
      <c r="W331" s="1351"/>
      <c r="X331" s="1535"/>
      <c r="Y331" s="1355"/>
      <c r="Z331" s="1535"/>
      <c r="AA331" s="1355"/>
      <c r="AB331" s="1535"/>
      <c r="AC331" s="1355"/>
      <c r="AD331" s="1535"/>
      <c r="AE331" s="1355"/>
      <c r="AF331" s="1355"/>
      <c r="AG331" s="1355"/>
      <c r="AH331" s="1361"/>
      <c r="AI331" s="1482"/>
      <c r="AJ331" s="1543"/>
      <c r="AK331" s="1539"/>
      <c r="AL331" s="1541"/>
      <c r="AM331" s="1572"/>
      <c r="AN331" s="1574"/>
      <c r="AO331" s="1404"/>
      <c r="AP331" s="1533"/>
      <c r="AQ331" s="1404"/>
      <c r="AR331" s="1584"/>
      <c r="AS331" s="1537"/>
      <c r="AT331" s="1532" t="str">
        <f t="shared" ref="AT331" si="388">IF(AV332="","",IF(OR(AB332="",AB332&lt;&gt;7,AD332="",AD332&lt;&gt;3),"！算定期間の終わりが令和７年３月になっていません。年度内の廃止予定等がなければ、算定対象月を令和７年３月にしてください。",""))</f>
        <v/>
      </c>
      <c r="AU331" s="674"/>
      <c r="AV331" s="1493"/>
      <c r="AW331" s="1518" t="str">
        <f>IF('別紙様式2-2（４・５月分）'!O252="","",'別紙様式2-2（４・５月分）'!O252)</f>
        <v/>
      </c>
      <c r="AX331" s="1507"/>
      <c r="AY331" s="1589"/>
      <c r="AZ331" s="521"/>
      <c r="BE331" s="428"/>
      <c r="BF331" s="1493" t="str">
        <f>G330</f>
        <v/>
      </c>
      <c r="BG331" s="1493"/>
      <c r="BH331" s="1493"/>
    </row>
    <row r="332" spans="1:60" ht="15" customHeight="1">
      <c r="A332" s="1240"/>
      <c r="B332" s="1272"/>
      <c r="C332" s="1261"/>
      <c r="D332" s="1261"/>
      <c r="E332" s="1261"/>
      <c r="F332" s="1262"/>
      <c r="G332" s="1266"/>
      <c r="H332" s="1266"/>
      <c r="I332" s="1266"/>
      <c r="J332" s="1372"/>
      <c r="K332" s="1266"/>
      <c r="L332" s="1451"/>
      <c r="M332" s="1453"/>
      <c r="N332" s="1371"/>
      <c r="O332" s="1368"/>
      <c r="P332" s="1390" t="s">
        <v>2179</v>
      </c>
      <c r="Q332" s="1504" t="str">
        <f>IFERROR(VLOOKUP('別紙様式2-2（４・５月分）'!AR251,【参考】数式用!$AT$5:$AV$22,3,FALSE),"")</f>
        <v/>
      </c>
      <c r="R332" s="1388" t="s">
        <v>2190</v>
      </c>
      <c r="S332" s="1394" t="str">
        <f>IFERROR(VLOOKUP(K330,【参考】数式用!$A$5:$AB$27,MATCH(Q332,【参考】数式用!$B$4:$AB$4,0)+1,0),"")</f>
        <v/>
      </c>
      <c r="T332" s="1459" t="s">
        <v>2267</v>
      </c>
      <c r="U332" s="1569"/>
      <c r="V332" s="1463" t="str">
        <f>IFERROR(VLOOKUP(K330,【参考】数式用!$A$5:$AB$27,MATCH(U332,【参考】数式用!$B$4:$AB$4,0)+1,0),"")</f>
        <v/>
      </c>
      <c r="W332" s="1465" t="s">
        <v>19</v>
      </c>
      <c r="X332" s="1564"/>
      <c r="Y332" s="1407" t="s">
        <v>10</v>
      </c>
      <c r="Z332" s="1564"/>
      <c r="AA332" s="1407" t="s">
        <v>45</v>
      </c>
      <c r="AB332" s="1564"/>
      <c r="AC332" s="1407" t="s">
        <v>10</v>
      </c>
      <c r="AD332" s="1564"/>
      <c r="AE332" s="1407" t="s">
        <v>2172</v>
      </c>
      <c r="AF332" s="1407" t="s">
        <v>24</v>
      </c>
      <c r="AG332" s="1407" t="str">
        <f>IF(X332&gt;=1,(AB332*12+AD332)-(X332*12+Z332)+1,"")</f>
        <v/>
      </c>
      <c r="AH332" s="1409" t="s">
        <v>38</v>
      </c>
      <c r="AI332" s="1411" t="str">
        <f t="shared" ref="AI332" si="389">IFERROR(ROUNDDOWN(ROUND(L330*V332,0)*M330,0)*AG332,"")</f>
        <v/>
      </c>
      <c r="AJ332" s="1577" t="str">
        <f>IFERROR(ROUNDDOWN(ROUND((L330*(V332-AX330)),0)*M330,0)*AG332,"")</f>
        <v/>
      </c>
      <c r="AK332" s="1494" t="str">
        <f>IFERROR(ROUNDDOWN(ROUNDDOWN(ROUND(L330*VLOOKUP(K330,【参考】数式用!$A$5:$AB$27,MATCH("新加算Ⅳ",【参考】数式用!$B$4:$AB$4,0)+1,0),0)*M330,0)*AG332*0.5,0),"")</f>
        <v/>
      </c>
      <c r="AL332" s="1579"/>
      <c r="AM332" s="1585" t="str">
        <f>IFERROR(IF('別紙様式2-2（４・５月分）'!Q253="ベア加算","", IF(OR(U332="新加算Ⅰ",U332="新加算Ⅱ",U332="新加算Ⅲ",U332="新加算Ⅳ"),ROUNDDOWN(ROUND(L330*VLOOKUP(K330,【参考】数式用!$A$5:$I$27,MATCH("ベア加算",【参考】数式用!$B$4:$I$4,0)+1,0),0)*M330,0)*AG332,"")),"")</f>
        <v/>
      </c>
      <c r="AN332" s="1548"/>
      <c r="AO332" s="1554"/>
      <c r="AP332" s="1552"/>
      <c r="AQ332" s="1554"/>
      <c r="AR332" s="1556"/>
      <c r="AS332" s="1558"/>
      <c r="AT332" s="1532"/>
      <c r="AU332" s="542"/>
      <c r="AV332" s="1493" t="str">
        <f t="shared" ref="AV332" si="390">IF(OR(AB330&lt;&gt;7,AD330&lt;&gt;3),"V列に色付け","")</f>
        <v/>
      </c>
      <c r="AW332" s="1518"/>
      <c r="AX332" s="1507"/>
      <c r="AY332" s="671"/>
      <c r="AZ332" s="1321" t="str">
        <f>IF(AM332&lt;&gt;"",IF(AN332="○","入力済","未入力"),"")</f>
        <v/>
      </c>
      <c r="BA332" s="1321"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321" t="str">
        <f>IF(OR(U332="新加算Ⅴ（７）",U332="新加算Ⅴ（９）",U332="新加算Ⅴ（10）",U332="新加算Ⅴ（12）",U332="新加算Ⅴ（13）",U332="新加算Ⅴ（14）"),IF(OR(AP332="○",AP332="令和６年度中に満たす"),"入力済","未入力"),"")</f>
        <v/>
      </c>
      <c r="BC332" s="1321" t="str">
        <f>IF(OR(U332="新加算Ⅰ",U332="新加算Ⅱ",U332="新加算Ⅲ",U332="新加算Ⅴ（１）",U332="新加算Ⅴ（３）",U332="新加算Ⅴ（８）"),IF(OR(AQ332="○",AQ332="令和６年度中に満たす"),"入力済","未入力"),"")</f>
        <v/>
      </c>
      <c r="BD332" s="1588"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493" t="str">
        <f>IF(OR(U332="新加算Ⅰ",U332="新加算Ⅴ（１）",U332="新加算Ⅴ（２）",U332="新加算Ⅴ（５）",U332="新加算Ⅴ（７）",U332="新加算Ⅴ（10）"),IF(AS332="","未入力","入力済"),"")</f>
        <v/>
      </c>
      <c r="BF332" s="1493" t="str">
        <f>G330</f>
        <v/>
      </c>
      <c r="BG332" s="1493"/>
      <c r="BH332" s="1493"/>
    </row>
    <row r="333" spans="1:60" ht="30" customHeight="1" thickBot="1">
      <c r="A333" s="1227"/>
      <c r="B333" s="1376"/>
      <c r="C333" s="1377"/>
      <c r="D333" s="1377"/>
      <c r="E333" s="1377"/>
      <c r="F333" s="1378"/>
      <c r="G333" s="1267"/>
      <c r="H333" s="1267"/>
      <c r="I333" s="1267"/>
      <c r="J333" s="1373"/>
      <c r="K333" s="1267"/>
      <c r="L333" s="1452"/>
      <c r="M333" s="1454"/>
      <c r="N333" s="650" t="str">
        <f>IF('別紙様式2-2（４・５月分）'!Q253="","",'別紙様式2-2（４・５月分）'!Q253)</f>
        <v/>
      </c>
      <c r="O333" s="1369"/>
      <c r="P333" s="1391"/>
      <c r="Q333" s="1505"/>
      <c r="R333" s="1389"/>
      <c r="S333" s="1395"/>
      <c r="T333" s="1460"/>
      <c r="U333" s="1570"/>
      <c r="V333" s="1464"/>
      <c r="W333" s="1466"/>
      <c r="X333" s="1565"/>
      <c r="Y333" s="1408"/>
      <c r="Z333" s="1565"/>
      <c r="AA333" s="1408"/>
      <c r="AB333" s="1565"/>
      <c r="AC333" s="1408"/>
      <c r="AD333" s="1565"/>
      <c r="AE333" s="1408"/>
      <c r="AF333" s="1408"/>
      <c r="AG333" s="1408"/>
      <c r="AH333" s="1410"/>
      <c r="AI333" s="1412"/>
      <c r="AJ333" s="1578"/>
      <c r="AK333" s="1495"/>
      <c r="AL333" s="1580"/>
      <c r="AM333" s="1586"/>
      <c r="AN333" s="1549"/>
      <c r="AO333" s="1555"/>
      <c r="AP333" s="1553"/>
      <c r="AQ333" s="1555"/>
      <c r="AR333" s="1557"/>
      <c r="AS333" s="1559"/>
      <c r="AT333" s="672" t="str">
        <f t="shared" ref="AT333" si="391">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42"/>
      <c r="AV333" s="1493"/>
      <c r="AW333" s="652" t="str">
        <f>IF('別紙様式2-2（４・５月分）'!O253="","",'別紙様式2-2（４・５月分）'!O253)</f>
        <v/>
      </c>
      <c r="AX333" s="1507"/>
      <c r="AY333" s="673"/>
      <c r="AZ333" s="1321" t="str">
        <f>IF(OR(U333="新加算Ⅰ",U333="新加算Ⅱ",U333="新加算Ⅲ",U333="新加算Ⅳ",U333="新加算Ⅴ（１）",U333="新加算Ⅴ（２）",U333="新加算Ⅴ（３）",U333="新加算ⅠⅤ（４）",U333="新加算Ⅴ（５）",U333="新加算Ⅴ（６）",U333="新加算Ⅴ（８）",U333="新加算Ⅴ（11）"),IF(AJ333="○","","未入力"),"")</f>
        <v/>
      </c>
      <c r="BA333" s="1321" t="str">
        <f>IF(OR(V333="新加算Ⅰ",V333="新加算Ⅱ",V333="新加算Ⅲ",V333="新加算Ⅳ",V333="新加算Ⅴ（１）",V333="新加算Ⅴ（２）",V333="新加算Ⅴ（３）",V333="新加算ⅠⅤ（４）",V333="新加算Ⅴ（５）",V333="新加算Ⅴ（６）",V333="新加算Ⅴ（８）",V333="新加算Ⅴ（11）"),IF(AK333="○","","未入力"),"")</f>
        <v/>
      </c>
      <c r="BB333" s="1321" t="str">
        <f>IF(OR(V333="新加算Ⅴ（７）",V333="新加算Ⅴ（９）",V333="新加算Ⅴ（10）",V333="新加算Ⅴ（12）",V333="新加算Ⅴ（13）",V333="新加算Ⅴ（14）"),IF(AL333="○","","未入力"),"")</f>
        <v/>
      </c>
      <c r="BC333" s="1321" t="str">
        <f>IF(OR(V333="新加算Ⅰ",V333="新加算Ⅱ",V333="新加算Ⅲ",V333="新加算Ⅴ（１）",V333="新加算Ⅴ（３）",V333="新加算Ⅴ（８）"),IF(AM333="○","","未入力"),"")</f>
        <v/>
      </c>
      <c r="BD333" s="1588"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493" t="str">
        <f>IF(AND(U333&lt;&gt;"（参考）令和７年度の移行予定",OR(V333="新加算Ⅰ",V333="新加算Ⅴ（１）",V333="新加算Ⅴ（２）",V333="新加算Ⅴ（５）",V333="新加算Ⅴ（７）",V333="新加算Ⅴ（10）")),IF(AO333="","未入力",IF(AO333="いずれも取得していない","要件を満たさない","")),"")</f>
        <v/>
      </c>
      <c r="BF333" s="1493" t="str">
        <f>G330</f>
        <v/>
      </c>
      <c r="BG333" s="1493"/>
      <c r="BH333" s="1493"/>
    </row>
    <row r="334" spans="1:60" ht="30" customHeight="1">
      <c r="A334" s="1225">
        <v>81</v>
      </c>
      <c r="B334" s="1271" t="str">
        <f>IF(基本情報入力シート!C134="","",基本情報入力シート!C134)</f>
        <v/>
      </c>
      <c r="C334" s="1259"/>
      <c r="D334" s="1259"/>
      <c r="E334" s="1259"/>
      <c r="F334" s="1260"/>
      <c r="G334" s="1265" t="str">
        <f>IF(基本情報入力シート!M134="","",基本情報入力シート!M134)</f>
        <v/>
      </c>
      <c r="H334" s="1265" t="str">
        <f>IF(基本情報入力シート!R134="","",基本情報入力シート!R134)</f>
        <v/>
      </c>
      <c r="I334" s="1265" t="str">
        <f>IF(基本情報入力シート!W134="","",基本情報入力シート!W134)</f>
        <v/>
      </c>
      <c r="J334" s="1379" t="str">
        <f>IF(基本情報入力シート!X134="","",基本情報入力シート!X134)</f>
        <v/>
      </c>
      <c r="K334" s="1265" t="str">
        <f>IF(基本情報入力シート!Y134="","",基本情報入力シート!Y134)</f>
        <v/>
      </c>
      <c r="L334" s="1450" t="str">
        <f>IF(基本情報入力シート!AB134="","",基本情報入力シート!AB134)</f>
        <v/>
      </c>
      <c r="M334" s="1447" t="str">
        <f>IF(基本情報入力シート!AC134="","",基本情報入力シート!AC134)</f>
        <v/>
      </c>
      <c r="N334" s="647" t="str">
        <f>IF('別紙様式2-2（４・５月分）'!Q254="","",'別紙様式2-2（４・５月分）'!Q254)</f>
        <v/>
      </c>
      <c r="O334" s="1366" t="str">
        <f>IF(SUM('別紙様式2-2（４・５月分）'!R254:R256)=0,"",SUM('別紙様式2-2（４・５月分）'!R254:R256))</f>
        <v/>
      </c>
      <c r="P334" s="1380" t="str">
        <f>IFERROR(VLOOKUP('別紙様式2-2（４・５月分）'!AR254,【参考】数式用!$AT$5:$AU$22,2,FALSE),"")</f>
        <v/>
      </c>
      <c r="Q334" s="1381"/>
      <c r="R334" s="1382"/>
      <c r="S334" s="1392" t="str">
        <f>IFERROR(VLOOKUP(K334,【参考】数式用!$A$5:$AB$27,MATCH(P334,【参考】数式用!$B$4:$AB$4,0)+1,0),"")</f>
        <v/>
      </c>
      <c r="T334" s="1413" t="s">
        <v>2258</v>
      </c>
      <c r="U334" s="1562" t="str">
        <f>IF('別紙様式2-3（６月以降分）'!U334="","",'別紙様式2-3（６月以降分）'!U334)</f>
        <v/>
      </c>
      <c r="V334" s="1457" t="str">
        <f>IFERROR(VLOOKUP(K334,【参考】数式用!$A$5:$AB$27,MATCH(U334,【参考】数式用!$B$4:$AB$4,0)+1,0),"")</f>
        <v/>
      </c>
      <c r="W334" s="1350" t="s">
        <v>19</v>
      </c>
      <c r="X334" s="1534">
        <f>'別紙様式2-3（６月以降分）'!X334</f>
        <v>6</v>
      </c>
      <c r="Y334" s="1354" t="s">
        <v>10</v>
      </c>
      <c r="Z334" s="1534">
        <f>'別紙様式2-3（６月以降分）'!Z334</f>
        <v>6</v>
      </c>
      <c r="AA334" s="1354" t="s">
        <v>45</v>
      </c>
      <c r="AB334" s="1534">
        <f>'別紙様式2-3（６月以降分）'!AB334</f>
        <v>7</v>
      </c>
      <c r="AC334" s="1354" t="s">
        <v>10</v>
      </c>
      <c r="AD334" s="1534">
        <f>'別紙様式2-3（６月以降分）'!AD334</f>
        <v>3</v>
      </c>
      <c r="AE334" s="1354" t="s">
        <v>2172</v>
      </c>
      <c r="AF334" s="1354" t="s">
        <v>24</v>
      </c>
      <c r="AG334" s="1354">
        <f>IF(X334&gt;=1,(AB334*12+AD334)-(X334*12+Z334)+1,"")</f>
        <v>10</v>
      </c>
      <c r="AH334" s="1360" t="s">
        <v>38</v>
      </c>
      <c r="AI334" s="1481" t="str">
        <f>'別紙様式2-3（６月以降分）'!AI334</f>
        <v/>
      </c>
      <c r="AJ334" s="1542" t="str">
        <f>'別紙様式2-3（６月以降分）'!AJ334</f>
        <v/>
      </c>
      <c r="AK334" s="1538">
        <f>'別紙様式2-3（６月以降分）'!AK334</f>
        <v>0</v>
      </c>
      <c r="AL334" s="1540" t="str">
        <f>IF('別紙様式2-3（６月以降分）'!AL334="","",'別紙様式2-3（６月以降分）'!AL334)</f>
        <v/>
      </c>
      <c r="AM334" s="1571">
        <f>'別紙様式2-3（６月以降分）'!AM334</f>
        <v>0</v>
      </c>
      <c r="AN334" s="1573" t="str">
        <f>IF('別紙様式2-3（６月以降分）'!AN334="","",'別紙様式2-3（６月以降分）'!AN334)</f>
        <v/>
      </c>
      <c r="AO334" s="1403" t="str">
        <f>IF('別紙様式2-3（６月以降分）'!AO334="","",'別紙様式2-3（６月以降分）'!AO334)</f>
        <v/>
      </c>
      <c r="AP334" s="1502" t="str">
        <f>IF('別紙様式2-3（６月以降分）'!AP334="","",'別紙様式2-3（６月以降分）'!AP334)</f>
        <v/>
      </c>
      <c r="AQ334" s="1403" t="str">
        <f>IF('別紙様式2-3（６月以降分）'!AQ334="","",'別紙様式2-3（６月以降分）'!AQ334)</f>
        <v/>
      </c>
      <c r="AR334" s="1583" t="str">
        <f>IF('別紙様式2-3（６月以降分）'!AR334="","",'別紙様式2-3（６月以降分）'!AR334)</f>
        <v/>
      </c>
      <c r="AS334" s="1536" t="str">
        <f>IF('別紙様式2-3（６月以降分）'!AS334="","",'別紙様式2-3（６月以降分）'!AS334)</f>
        <v/>
      </c>
      <c r="AT334" s="667" t="str">
        <f t="shared" ref="AT334" si="392">IF(AV336="","",IF(V336&lt;V334,"！加算の要件上は問題ありませんが、令和６年度当初の新加算の加算率と比較して、移行後の加算率が下がる計画になっています。",""))</f>
        <v/>
      </c>
      <c r="AU334" s="674"/>
      <c r="AV334" s="1233"/>
      <c r="AW334" s="652" t="str">
        <f>IF('別紙様式2-2（４・５月分）'!O254="","",'別紙様式2-2（４・５月分）'!O254)</f>
        <v/>
      </c>
      <c r="AX334" s="1507" t="str">
        <f>IF(SUM('別紙様式2-2（４・５月分）'!P254:P256)=0,"",SUM('別紙様式2-2（４・５月分）'!P254:P256))</f>
        <v/>
      </c>
      <c r="AY334" s="1590" t="str">
        <f>IFERROR(VLOOKUP(K334,【参考】数式用!$AJ$2:$AK$24,2,FALSE),"")</f>
        <v/>
      </c>
      <c r="AZ334" s="584"/>
      <c r="BE334" s="428"/>
      <c r="BF334" s="1493" t="str">
        <f>G334</f>
        <v/>
      </c>
      <c r="BG334" s="1493"/>
      <c r="BH334" s="1493"/>
    </row>
    <row r="335" spans="1:60" ht="15" customHeight="1">
      <c r="A335" s="1226"/>
      <c r="B335" s="1272"/>
      <c r="C335" s="1261"/>
      <c r="D335" s="1261"/>
      <c r="E335" s="1261"/>
      <c r="F335" s="1262"/>
      <c r="G335" s="1266"/>
      <c r="H335" s="1266"/>
      <c r="I335" s="1266"/>
      <c r="J335" s="1372"/>
      <c r="K335" s="1266"/>
      <c r="L335" s="1451"/>
      <c r="M335" s="1448"/>
      <c r="N335" s="1370" t="str">
        <f>IF('別紙様式2-2（４・５月分）'!Q255="","",'別紙様式2-2（４・５月分）'!Q255)</f>
        <v/>
      </c>
      <c r="O335" s="1367"/>
      <c r="P335" s="1383"/>
      <c r="Q335" s="1384"/>
      <c r="R335" s="1385"/>
      <c r="S335" s="1393"/>
      <c r="T335" s="1414"/>
      <c r="U335" s="1563"/>
      <c r="V335" s="1458"/>
      <c r="W335" s="1351"/>
      <c r="X335" s="1535"/>
      <c r="Y335" s="1355"/>
      <c r="Z335" s="1535"/>
      <c r="AA335" s="1355"/>
      <c r="AB335" s="1535"/>
      <c r="AC335" s="1355"/>
      <c r="AD335" s="1535"/>
      <c r="AE335" s="1355"/>
      <c r="AF335" s="1355"/>
      <c r="AG335" s="1355"/>
      <c r="AH335" s="1361"/>
      <c r="AI335" s="1482"/>
      <c r="AJ335" s="1543"/>
      <c r="AK335" s="1539"/>
      <c r="AL335" s="1541"/>
      <c r="AM335" s="1572"/>
      <c r="AN335" s="1574"/>
      <c r="AO335" s="1404"/>
      <c r="AP335" s="1533"/>
      <c r="AQ335" s="1404"/>
      <c r="AR335" s="1584"/>
      <c r="AS335" s="1537"/>
      <c r="AT335" s="1532" t="str">
        <f t="shared" ref="AT335" si="393">IF(AV336="","",IF(OR(AB336="",AB336&lt;&gt;7,AD336="",AD336&lt;&gt;3),"！算定期間の終わりが令和７年３月になっていません。年度内の廃止予定等がなければ、算定対象月を令和７年３月にしてください。",""))</f>
        <v/>
      </c>
      <c r="AU335" s="674"/>
      <c r="AV335" s="1493"/>
      <c r="AW335" s="1518" t="str">
        <f>IF('別紙様式2-2（４・５月分）'!O255="","",'別紙様式2-2（４・５月分）'!O255)</f>
        <v/>
      </c>
      <c r="AX335" s="1507"/>
      <c r="AY335" s="1589"/>
      <c r="AZ335" s="521"/>
      <c r="BE335" s="428"/>
      <c r="BF335" s="1493" t="str">
        <f>G334</f>
        <v/>
      </c>
      <c r="BG335" s="1493"/>
      <c r="BH335" s="1493"/>
    </row>
    <row r="336" spans="1:60" ht="15" customHeight="1">
      <c r="A336" s="1240"/>
      <c r="B336" s="1272"/>
      <c r="C336" s="1261"/>
      <c r="D336" s="1261"/>
      <c r="E336" s="1261"/>
      <c r="F336" s="1262"/>
      <c r="G336" s="1266"/>
      <c r="H336" s="1266"/>
      <c r="I336" s="1266"/>
      <c r="J336" s="1372"/>
      <c r="K336" s="1266"/>
      <c r="L336" s="1451"/>
      <c r="M336" s="1448"/>
      <c r="N336" s="1371"/>
      <c r="O336" s="1368"/>
      <c r="P336" s="1390" t="s">
        <v>2179</v>
      </c>
      <c r="Q336" s="1504" t="str">
        <f>IFERROR(VLOOKUP('別紙様式2-2（４・５月分）'!AR254,【参考】数式用!$AT$5:$AV$22,3,FALSE),"")</f>
        <v/>
      </c>
      <c r="R336" s="1388" t="s">
        <v>2190</v>
      </c>
      <c r="S336" s="1396" t="str">
        <f>IFERROR(VLOOKUP(K334,【参考】数式用!$A$5:$AB$27,MATCH(Q336,【参考】数式用!$B$4:$AB$4,0)+1,0),"")</f>
        <v/>
      </c>
      <c r="T336" s="1459" t="s">
        <v>2267</v>
      </c>
      <c r="U336" s="1569"/>
      <c r="V336" s="1463" t="str">
        <f>IFERROR(VLOOKUP(K334,【参考】数式用!$A$5:$AB$27,MATCH(U336,【参考】数式用!$B$4:$AB$4,0)+1,0),"")</f>
        <v/>
      </c>
      <c r="W336" s="1465" t="s">
        <v>19</v>
      </c>
      <c r="X336" s="1564"/>
      <c r="Y336" s="1407" t="s">
        <v>10</v>
      </c>
      <c r="Z336" s="1564"/>
      <c r="AA336" s="1407" t="s">
        <v>45</v>
      </c>
      <c r="AB336" s="1564"/>
      <c r="AC336" s="1407" t="s">
        <v>10</v>
      </c>
      <c r="AD336" s="1564"/>
      <c r="AE336" s="1407" t="s">
        <v>2172</v>
      </c>
      <c r="AF336" s="1407" t="s">
        <v>24</v>
      </c>
      <c r="AG336" s="1407" t="str">
        <f>IF(X336&gt;=1,(AB336*12+AD336)-(X336*12+Z336)+1,"")</f>
        <v/>
      </c>
      <c r="AH336" s="1409" t="s">
        <v>38</v>
      </c>
      <c r="AI336" s="1411" t="str">
        <f t="shared" ref="AI336" si="394">IFERROR(ROUNDDOWN(ROUND(L334*V336,0)*M334,0)*AG336,"")</f>
        <v/>
      </c>
      <c r="AJ336" s="1577" t="str">
        <f>IFERROR(ROUNDDOWN(ROUND((L334*(V336-AX334)),0)*M334,0)*AG336,"")</f>
        <v/>
      </c>
      <c r="AK336" s="1494" t="str">
        <f>IFERROR(ROUNDDOWN(ROUNDDOWN(ROUND(L334*VLOOKUP(K334,【参考】数式用!$A$5:$AB$27,MATCH("新加算Ⅳ",【参考】数式用!$B$4:$AB$4,0)+1,0),0)*M334,0)*AG336*0.5,0),"")</f>
        <v/>
      </c>
      <c r="AL336" s="1579"/>
      <c r="AM336" s="1585" t="str">
        <f>IFERROR(IF('別紙様式2-2（４・５月分）'!Q256="ベア加算","", IF(OR(U336="新加算Ⅰ",U336="新加算Ⅱ",U336="新加算Ⅲ",U336="新加算Ⅳ"),ROUNDDOWN(ROUND(L334*VLOOKUP(K334,【参考】数式用!$A$5:$I$27,MATCH("ベア加算",【参考】数式用!$B$4:$I$4,0)+1,0),0)*M334,0)*AG336,"")),"")</f>
        <v/>
      </c>
      <c r="AN336" s="1548"/>
      <c r="AO336" s="1554"/>
      <c r="AP336" s="1552"/>
      <c r="AQ336" s="1554"/>
      <c r="AR336" s="1556"/>
      <c r="AS336" s="1558"/>
      <c r="AT336" s="1532"/>
      <c r="AU336" s="542"/>
      <c r="AV336" s="1493" t="str">
        <f t="shared" ref="AV336" si="395">IF(OR(AB334&lt;&gt;7,AD334&lt;&gt;3),"V列に色付け","")</f>
        <v/>
      </c>
      <c r="AW336" s="1518"/>
      <c r="AX336" s="1507"/>
      <c r="AY336" s="671"/>
      <c r="AZ336" s="1321" t="str">
        <f>IF(AM336&lt;&gt;"",IF(AN336="○","入力済","未入力"),"")</f>
        <v/>
      </c>
      <c r="BA336" s="1321"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321" t="str">
        <f>IF(OR(U336="新加算Ⅴ（７）",U336="新加算Ⅴ（９）",U336="新加算Ⅴ（10）",U336="新加算Ⅴ（12）",U336="新加算Ⅴ（13）",U336="新加算Ⅴ（14）"),IF(OR(AP336="○",AP336="令和６年度中に満たす"),"入力済","未入力"),"")</f>
        <v/>
      </c>
      <c r="BC336" s="1321" t="str">
        <f>IF(OR(U336="新加算Ⅰ",U336="新加算Ⅱ",U336="新加算Ⅲ",U336="新加算Ⅴ（１）",U336="新加算Ⅴ（３）",U336="新加算Ⅴ（８）"),IF(OR(AQ336="○",AQ336="令和６年度中に満たす"),"入力済","未入力"),"")</f>
        <v/>
      </c>
      <c r="BD336" s="1588"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493" t="str">
        <f>IF(OR(U336="新加算Ⅰ",U336="新加算Ⅴ（１）",U336="新加算Ⅴ（２）",U336="新加算Ⅴ（５）",U336="新加算Ⅴ（７）",U336="新加算Ⅴ（10）"),IF(AS336="","未入力","入力済"),"")</f>
        <v/>
      </c>
      <c r="BF336" s="1493" t="str">
        <f>G334</f>
        <v/>
      </c>
      <c r="BG336" s="1493"/>
      <c r="BH336" s="1493"/>
    </row>
    <row r="337" spans="1:60" ht="30" customHeight="1" thickBot="1">
      <c r="A337" s="1227"/>
      <c r="B337" s="1376"/>
      <c r="C337" s="1377"/>
      <c r="D337" s="1377"/>
      <c r="E337" s="1377"/>
      <c r="F337" s="1378"/>
      <c r="G337" s="1267"/>
      <c r="H337" s="1267"/>
      <c r="I337" s="1267"/>
      <c r="J337" s="1373"/>
      <c r="K337" s="1267"/>
      <c r="L337" s="1452"/>
      <c r="M337" s="1449"/>
      <c r="N337" s="650" t="str">
        <f>IF('別紙様式2-2（４・５月分）'!Q256="","",'別紙様式2-2（４・５月分）'!Q256)</f>
        <v/>
      </c>
      <c r="O337" s="1369"/>
      <c r="P337" s="1391"/>
      <c r="Q337" s="1505"/>
      <c r="R337" s="1389"/>
      <c r="S337" s="1395"/>
      <c r="T337" s="1460"/>
      <c r="U337" s="1570"/>
      <c r="V337" s="1464"/>
      <c r="W337" s="1466"/>
      <c r="X337" s="1565"/>
      <c r="Y337" s="1408"/>
      <c r="Z337" s="1565"/>
      <c r="AA337" s="1408"/>
      <c r="AB337" s="1565"/>
      <c r="AC337" s="1408"/>
      <c r="AD337" s="1565"/>
      <c r="AE337" s="1408"/>
      <c r="AF337" s="1408"/>
      <c r="AG337" s="1408"/>
      <c r="AH337" s="1410"/>
      <c r="AI337" s="1412"/>
      <c r="AJ337" s="1578"/>
      <c r="AK337" s="1495"/>
      <c r="AL337" s="1580"/>
      <c r="AM337" s="1586"/>
      <c r="AN337" s="1549"/>
      <c r="AO337" s="1555"/>
      <c r="AP337" s="1553"/>
      <c r="AQ337" s="1555"/>
      <c r="AR337" s="1557"/>
      <c r="AS337" s="1559"/>
      <c r="AT337" s="672" t="str">
        <f t="shared" ref="AT337" si="39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42"/>
      <c r="AV337" s="1493"/>
      <c r="AW337" s="652" t="str">
        <f>IF('別紙様式2-2（４・５月分）'!O256="","",'別紙様式2-2（４・５月分）'!O256)</f>
        <v/>
      </c>
      <c r="AX337" s="1507"/>
      <c r="AY337" s="673"/>
      <c r="AZ337" s="1321" t="str">
        <f>IF(OR(U337="新加算Ⅰ",U337="新加算Ⅱ",U337="新加算Ⅲ",U337="新加算Ⅳ",U337="新加算Ⅴ（１）",U337="新加算Ⅴ（２）",U337="新加算Ⅴ（３）",U337="新加算ⅠⅤ（４）",U337="新加算Ⅴ（５）",U337="新加算Ⅴ（６）",U337="新加算Ⅴ（８）",U337="新加算Ⅴ（11）"),IF(AJ337="○","","未入力"),"")</f>
        <v/>
      </c>
      <c r="BA337" s="1321" t="str">
        <f>IF(OR(V337="新加算Ⅰ",V337="新加算Ⅱ",V337="新加算Ⅲ",V337="新加算Ⅳ",V337="新加算Ⅴ（１）",V337="新加算Ⅴ（２）",V337="新加算Ⅴ（３）",V337="新加算ⅠⅤ（４）",V337="新加算Ⅴ（５）",V337="新加算Ⅴ（６）",V337="新加算Ⅴ（８）",V337="新加算Ⅴ（11）"),IF(AK337="○","","未入力"),"")</f>
        <v/>
      </c>
      <c r="BB337" s="1321" t="str">
        <f>IF(OR(V337="新加算Ⅴ（７）",V337="新加算Ⅴ（９）",V337="新加算Ⅴ（10）",V337="新加算Ⅴ（12）",V337="新加算Ⅴ（13）",V337="新加算Ⅴ（14）"),IF(AL337="○","","未入力"),"")</f>
        <v/>
      </c>
      <c r="BC337" s="1321" t="str">
        <f>IF(OR(V337="新加算Ⅰ",V337="新加算Ⅱ",V337="新加算Ⅲ",V337="新加算Ⅴ（１）",V337="新加算Ⅴ（３）",V337="新加算Ⅴ（８）"),IF(AM337="○","","未入力"),"")</f>
        <v/>
      </c>
      <c r="BD337" s="1588"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493" t="str">
        <f>IF(AND(U337&lt;&gt;"（参考）令和７年度の移行予定",OR(V337="新加算Ⅰ",V337="新加算Ⅴ（１）",V337="新加算Ⅴ（２）",V337="新加算Ⅴ（５）",V337="新加算Ⅴ（７）",V337="新加算Ⅴ（10）")),IF(AO337="","未入力",IF(AO337="いずれも取得していない","要件を満たさない","")),"")</f>
        <v/>
      </c>
      <c r="BF337" s="1493" t="str">
        <f>G334</f>
        <v/>
      </c>
      <c r="BG337" s="1493"/>
      <c r="BH337" s="1493"/>
    </row>
    <row r="338" spans="1:60" ht="30" customHeight="1">
      <c r="A338" s="1241">
        <v>82</v>
      </c>
      <c r="B338" s="1272" t="str">
        <f>IF(基本情報入力シート!C135="","",基本情報入力シート!C135)</f>
        <v/>
      </c>
      <c r="C338" s="1261"/>
      <c r="D338" s="1261"/>
      <c r="E338" s="1261"/>
      <c r="F338" s="1262"/>
      <c r="G338" s="1266" t="str">
        <f>IF(基本情報入力シート!M135="","",基本情報入力シート!M135)</f>
        <v/>
      </c>
      <c r="H338" s="1266" t="str">
        <f>IF(基本情報入力シート!R135="","",基本情報入力シート!R135)</f>
        <v/>
      </c>
      <c r="I338" s="1266" t="str">
        <f>IF(基本情報入力シート!W135="","",基本情報入力シート!W135)</f>
        <v/>
      </c>
      <c r="J338" s="1372" t="str">
        <f>IF(基本情報入力シート!X135="","",基本情報入力シート!X135)</f>
        <v/>
      </c>
      <c r="K338" s="1266" t="str">
        <f>IF(基本情報入力シート!Y135="","",基本情報入力シート!Y135)</f>
        <v/>
      </c>
      <c r="L338" s="1451" t="str">
        <f>IF(基本情報入力シート!AB135="","",基本情報入力シート!AB135)</f>
        <v/>
      </c>
      <c r="M338" s="1453" t="str">
        <f>IF(基本情報入力シート!AC135="","",基本情報入力シート!AC135)</f>
        <v/>
      </c>
      <c r="N338" s="647" t="str">
        <f>IF('別紙様式2-2（４・５月分）'!Q257="","",'別紙様式2-2（４・５月分）'!Q257)</f>
        <v/>
      </c>
      <c r="O338" s="1366" t="str">
        <f>IF(SUM('別紙様式2-2（４・５月分）'!R257:R259)=0,"",SUM('別紙様式2-2（４・５月分）'!R257:R259))</f>
        <v/>
      </c>
      <c r="P338" s="1380" t="str">
        <f>IFERROR(VLOOKUP('別紙様式2-2（４・５月分）'!AR257,【参考】数式用!$AT$5:$AU$22,2,FALSE),"")</f>
        <v/>
      </c>
      <c r="Q338" s="1381"/>
      <c r="R338" s="1382"/>
      <c r="S338" s="1392" t="str">
        <f>IFERROR(VLOOKUP(K338,【参考】数式用!$A$5:$AB$27,MATCH(P338,【参考】数式用!$B$4:$AB$4,0)+1,0),"")</f>
        <v/>
      </c>
      <c r="T338" s="1413" t="s">
        <v>2258</v>
      </c>
      <c r="U338" s="1562" t="str">
        <f>IF('別紙様式2-3（６月以降分）'!U338="","",'別紙様式2-3（６月以降分）'!U338)</f>
        <v/>
      </c>
      <c r="V338" s="1457" t="str">
        <f>IFERROR(VLOOKUP(K338,【参考】数式用!$A$5:$AB$27,MATCH(U338,【参考】数式用!$B$4:$AB$4,0)+1,0),"")</f>
        <v/>
      </c>
      <c r="W338" s="1350" t="s">
        <v>19</v>
      </c>
      <c r="X338" s="1534">
        <f>'別紙様式2-3（６月以降分）'!X338</f>
        <v>6</v>
      </c>
      <c r="Y338" s="1354" t="s">
        <v>10</v>
      </c>
      <c r="Z338" s="1534">
        <f>'別紙様式2-3（６月以降分）'!Z338</f>
        <v>6</v>
      </c>
      <c r="AA338" s="1354" t="s">
        <v>45</v>
      </c>
      <c r="AB338" s="1534">
        <f>'別紙様式2-3（６月以降分）'!AB338</f>
        <v>7</v>
      </c>
      <c r="AC338" s="1354" t="s">
        <v>10</v>
      </c>
      <c r="AD338" s="1534">
        <f>'別紙様式2-3（６月以降分）'!AD338</f>
        <v>3</v>
      </c>
      <c r="AE338" s="1354" t="s">
        <v>2172</v>
      </c>
      <c r="AF338" s="1354" t="s">
        <v>24</v>
      </c>
      <c r="AG338" s="1354">
        <f>IF(X338&gt;=1,(AB338*12+AD338)-(X338*12+Z338)+1,"")</f>
        <v>10</v>
      </c>
      <c r="AH338" s="1360" t="s">
        <v>38</v>
      </c>
      <c r="AI338" s="1481" t="str">
        <f>'別紙様式2-3（６月以降分）'!AI338</f>
        <v/>
      </c>
      <c r="AJ338" s="1542" t="str">
        <f>'別紙様式2-3（６月以降分）'!AJ338</f>
        <v/>
      </c>
      <c r="AK338" s="1538">
        <f>'別紙様式2-3（６月以降分）'!AK338</f>
        <v>0</v>
      </c>
      <c r="AL338" s="1540" t="str">
        <f>IF('別紙様式2-3（６月以降分）'!AL338="","",'別紙様式2-3（６月以降分）'!AL338)</f>
        <v/>
      </c>
      <c r="AM338" s="1571">
        <f>'別紙様式2-3（６月以降分）'!AM338</f>
        <v>0</v>
      </c>
      <c r="AN338" s="1573" t="str">
        <f>IF('別紙様式2-3（６月以降分）'!AN338="","",'別紙様式2-3（６月以降分）'!AN338)</f>
        <v/>
      </c>
      <c r="AO338" s="1403" t="str">
        <f>IF('別紙様式2-3（６月以降分）'!AO338="","",'別紙様式2-3（６月以降分）'!AO338)</f>
        <v/>
      </c>
      <c r="AP338" s="1502" t="str">
        <f>IF('別紙様式2-3（６月以降分）'!AP338="","",'別紙様式2-3（６月以降分）'!AP338)</f>
        <v/>
      </c>
      <c r="AQ338" s="1403" t="str">
        <f>IF('別紙様式2-3（６月以降分）'!AQ338="","",'別紙様式2-3（６月以降分）'!AQ338)</f>
        <v/>
      </c>
      <c r="AR338" s="1583" t="str">
        <f>IF('別紙様式2-3（６月以降分）'!AR338="","",'別紙様式2-3（６月以降分）'!AR338)</f>
        <v/>
      </c>
      <c r="AS338" s="1536" t="str">
        <f>IF('別紙様式2-3（６月以降分）'!AS338="","",'別紙様式2-3（６月以降分）'!AS338)</f>
        <v/>
      </c>
      <c r="AT338" s="667" t="str">
        <f t="shared" ref="AT338" si="397">IF(AV340="","",IF(V340&lt;V338,"！加算の要件上は問題ありませんが、令和６年度当初の新加算の加算率と比較して、移行後の加算率が下がる計画になっています。",""))</f>
        <v/>
      </c>
      <c r="AU338" s="674"/>
      <c r="AV338" s="1233"/>
      <c r="AW338" s="652" t="str">
        <f>IF('別紙様式2-2（４・５月分）'!O257="","",'別紙様式2-2（４・５月分）'!O257)</f>
        <v/>
      </c>
      <c r="AX338" s="1507" t="str">
        <f>IF(SUM('別紙様式2-2（４・５月分）'!P257:P259)=0,"",SUM('別紙様式2-2（４・５月分）'!P257:P259))</f>
        <v/>
      </c>
      <c r="AY338" s="1589" t="str">
        <f>IFERROR(VLOOKUP(K338,【参考】数式用!$AJ$2:$AK$24,2,FALSE),"")</f>
        <v/>
      </c>
      <c r="AZ338" s="584"/>
      <c r="BE338" s="428"/>
      <c r="BF338" s="1493" t="str">
        <f>G338</f>
        <v/>
      </c>
      <c r="BG338" s="1493"/>
      <c r="BH338" s="1493"/>
    </row>
    <row r="339" spans="1:60" ht="15" customHeight="1">
      <c r="A339" s="1226"/>
      <c r="B339" s="1272"/>
      <c r="C339" s="1261"/>
      <c r="D339" s="1261"/>
      <c r="E339" s="1261"/>
      <c r="F339" s="1262"/>
      <c r="G339" s="1266"/>
      <c r="H339" s="1266"/>
      <c r="I339" s="1266"/>
      <c r="J339" s="1372"/>
      <c r="K339" s="1266"/>
      <c r="L339" s="1451"/>
      <c r="M339" s="1453"/>
      <c r="N339" s="1370" t="str">
        <f>IF('別紙様式2-2（４・５月分）'!Q258="","",'別紙様式2-2（４・５月分）'!Q258)</f>
        <v/>
      </c>
      <c r="O339" s="1367"/>
      <c r="P339" s="1383"/>
      <c r="Q339" s="1384"/>
      <c r="R339" s="1385"/>
      <c r="S339" s="1393"/>
      <c r="T339" s="1414"/>
      <c r="U339" s="1563"/>
      <c r="V339" s="1458"/>
      <c r="W339" s="1351"/>
      <c r="X339" s="1535"/>
      <c r="Y339" s="1355"/>
      <c r="Z339" s="1535"/>
      <c r="AA339" s="1355"/>
      <c r="AB339" s="1535"/>
      <c r="AC339" s="1355"/>
      <c r="AD339" s="1535"/>
      <c r="AE339" s="1355"/>
      <c r="AF339" s="1355"/>
      <c r="AG339" s="1355"/>
      <c r="AH339" s="1361"/>
      <c r="AI339" s="1482"/>
      <c r="AJ339" s="1543"/>
      <c r="AK339" s="1539"/>
      <c r="AL339" s="1541"/>
      <c r="AM339" s="1572"/>
      <c r="AN339" s="1574"/>
      <c r="AO339" s="1404"/>
      <c r="AP339" s="1533"/>
      <c r="AQ339" s="1404"/>
      <c r="AR339" s="1584"/>
      <c r="AS339" s="1537"/>
      <c r="AT339" s="1532" t="str">
        <f t="shared" ref="AT339" si="398">IF(AV340="","",IF(OR(AB340="",AB340&lt;&gt;7,AD340="",AD340&lt;&gt;3),"！算定期間の終わりが令和７年３月になっていません。年度内の廃止予定等がなければ、算定対象月を令和７年３月にしてください。",""))</f>
        <v/>
      </c>
      <c r="AU339" s="674"/>
      <c r="AV339" s="1493"/>
      <c r="AW339" s="1518" t="str">
        <f>IF('別紙様式2-2（４・５月分）'!O258="","",'別紙様式2-2（４・５月分）'!O258)</f>
        <v/>
      </c>
      <c r="AX339" s="1507"/>
      <c r="AY339" s="1589"/>
      <c r="AZ339" s="521"/>
      <c r="BE339" s="428"/>
      <c r="BF339" s="1493" t="str">
        <f>G338</f>
        <v/>
      </c>
      <c r="BG339" s="1493"/>
      <c r="BH339" s="1493"/>
    </row>
    <row r="340" spans="1:60" ht="15" customHeight="1">
      <c r="A340" s="1240"/>
      <c r="B340" s="1272"/>
      <c r="C340" s="1261"/>
      <c r="D340" s="1261"/>
      <c r="E340" s="1261"/>
      <c r="F340" s="1262"/>
      <c r="G340" s="1266"/>
      <c r="H340" s="1266"/>
      <c r="I340" s="1266"/>
      <c r="J340" s="1372"/>
      <c r="K340" s="1266"/>
      <c r="L340" s="1451"/>
      <c r="M340" s="1453"/>
      <c r="N340" s="1371"/>
      <c r="O340" s="1368"/>
      <c r="P340" s="1390" t="s">
        <v>2179</v>
      </c>
      <c r="Q340" s="1504" t="str">
        <f>IFERROR(VLOOKUP('別紙様式2-2（４・５月分）'!AR257,【参考】数式用!$AT$5:$AV$22,3,FALSE),"")</f>
        <v/>
      </c>
      <c r="R340" s="1388" t="s">
        <v>2190</v>
      </c>
      <c r="S340" s="1394" t="str">
        <f>IFERROR(VLOOKUP(K338,【参考】数式用!$A$5:$AB$27,MATCH(Q340,【参考】数式用!$B$4:$AB$4,0)+1,0),"")</f>
        <v/>
      </c>
      <c r="T340" s="1459" t="s">
        <v>2267</v>
      </c>
      <c r="U340" s="1569"/>
      <c r="V340" s="1463" t="str">
        <f>IFERROR(VLOOKUP(K338,【参考】数式用!$A$5:$AB$27,MATCH(U340,【参考】数式用!$B$4:$AB$4,0)+1,0),"")</f>
        <v/>
      </c>
      <c r="W340" s="1465" t="s">
        <v>19</v>
      </c>
      <c r="X340" s="1564"/>
      <c r="Y340" s="1407" t="s">
        <v>10</v>
      </c>
      <c r="Z340" s="1564"/>
      <c r="AA340" s="1407" t="s">
        <v>45</v>
      </c>
      <c r="AB340" s="1564"/>
      <c r="AC340" s="1407" t="s">
        <v>10</v>
      </c>
      <c r="AD340" s="1564"/>
      <c r="AE340" s="1407" t="s">
        <v>2172</v>
      </c>
      <c r="AF340" s="1407" t="s">
        <v>24</v>
      </c>
      <c r="AG340" s="1407" t="str">
        <f>IF(X340&gt;=1,(AB340*12+AD340)-(X340*12+Z340)+1,"")</f>
        <v/>
      </c>
      <c r="AH340" s="1409" t="s">
        <v>38</v>
      </c>
      <c r="AI340" s="1411" t="str">
        <f t="shared" ref="AI340" si="399">IFERROR(ROUNDDOWN(ROUND(L338*V340,0)*M338,0)*AG340,"")</f>
        <v/>
      </c>
      <c r="AJ340" s="1577" t="str">
        <f>IFERROR(ROUNDDOWN(ROUND((L338*(V340-AX338)),0)*M338,0)*AG340,"")</f>
        <v/>
      </c>
      <c r="AK340" s="1494" t="str">
        <f>IFERROR(ROUNDDOWN(ROUNDDOWN(ROUND(L338*VLOOKUP(K338,【参考】数式用!$A$5:$AB$27,MATCH("新加算Ⅳ",【参考】数式用!$B$4:$AB$4,0)+1,0),0)*M338,0)*AG340*0.5,0),"")</f>
        <v/>
      </c>
      <c r="AL340" s="1579"/>
      <c r="AM340" s="1585" t="str">
        <f>IFERROR(IF('別紙様式2-2（４・５月分）'!Q259="ベア加算","", IF(OR(U340="新加算Ⅰ",U340="新加算Ⅱ",U340="新加算Ⅲ",U340="新加算Ⅳ"),ROUNDDOWN(ROUND(L338*VLOOKUP(K338,【参考】数式用!$A$5:$I$27,MATCH("ベア加算",【参考】数式用!$B$4:$I$4,0)+1,0),0)*M338,0)*AG340,"")),"")</f>
        <v/>
      </c>
      <c r="AN340" s="1548"/>
      <c r="AO340" s="1554"/>
      <c r="AP340" s="1552"/>
      <c r="AQ340" s="1554"/>
      <c r="AR340" s="1556"/>
      <c r="AS340" s="1558"/>
      <c r="AT340" s="1532"/>
      <c r="AU340" s="542"/>
      <c r="AV340" s="1493" t="str">
        <f t="shared" ref="AV340" si="400">IF(OR(AB338&lt;&gt;7,AD338&lt;&gt;3),"V列に色付け","")</f>
        <v/>
      </c>
      <c r="AW340" s="1518"/>
      <c r="AX340" s="1507"/>
      <c r="AY340" s="671"/>
      <c r="AZ340" s="1321" t="str">
        <f>IF(AM340&lt;&gt;"",IF(AN340="○","入力済","未入力"),"")</f>
        <v/>
      </c>
      <c r="BA340" s="1321"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321" t="str">
        <f>IF(OR(U340="新加算Ⅴ（７）",U340="新加算Ⅴ（９）",U340="新加算Ⅴ（10）",U340="新加算Ⅴ（12）",U340="新加算Ⅴ（13）",U340="新加算Ⅴ（14）"),IF(OR(AP340="○",AP340="令和６年度中に満たす"),"入力済","未入力"),"")</f>
        <v/>
      </c>
      <c r="BC340" s="1321" t="str">
        <f>IF(OR(U340="新加算Ⅰ",U340="新加算Ⅱ",U340="新加算Ⅲ",U340="新加算Ⅴ（１）",U340="新加算Ⅴ（３）",U340="新加算Ⅴ（８）"),IF(OR(AQ340="○",AQ340="令和６年度中に満たす"),"入力済","未入力"),"")</f>
        <v/>
      </c>
      <c r="BD340" s="1588"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493" t="str">
        <f>IF(OR(U340="新加算Ⅰ",U340="新加算Ⅴ（１）",U340="新加算Ⅴ（２）",U340="新加算Ⅴ（５）",U340="新加算Ⅴ（７）",U340="新加算Ⅴ（10）"),IF(AS340="","未入力","入力済"),"")</f>
        <v/>
      </c>
      <c r="BF340" s="1493" t="str">
        <f>G338</f>
        <v/>
      </c>
      <c r="BG340" s="1493"/>
      <c r="BH340" s="1493"/>
    </row>
    <row r="341" spans="1:60" ht="30" customHeight="1" thickBot="1">
      <c r="A341" s="1227"/>
      <c r="B341" s="1376"/>
      <c r="C341" s="1377"/>
      <c r="D341" s="1377"/>
      <c r="E341" s="1377"/>
      <c r="F341" s="1378"/>
      <c r="G341" s="1267"/>
      <c r="H341" s="1267"/>
      <c r="I341" s="1267"/>
      <c r="J341" s="1373"/>
      <c r="K341" s="1267"/>
      <c r="L341" s="1452"/>
      <c r="M341" s="1454"/>
      <c r="N341" s="650" t="str">
        <f>IF('別紙様式2-2（４・５月分）'!Q259="","",'別紙様式2-2（４・５月分）'!Q259)</f>
        <v/>
      </c>
      <c r="O341" s="1369"/>
      <c r="P341" s="1391"/>
      <c r="Q341" s="1505"/>
      <c r="R341" s="1389"/>
      <c r="S341" s="1395"/>
      <c r="T341" s="1460"/>
      <c r="U341" s="1570"/>
      <c r="V341" s="1464"/>
      <c r="W341" s="1466"/>
      <c r="X341" s="1565"/>
      <c r="Y341" s="1408"/>
      <c r="Z341" s="1565"/>
      <c r="AA341" s="1408"/>
      <c r="AB341" s="1565"/>
      <c r="AC341" s="1408"/>
      <c r="AD341" s="1565"/>
      <c r="AE341" s="1408"/>
      <c r="AF341" s="1408"/>
      <c r="AG341" s="1408"/>
      <c r="AH341" s="1410"/>
      <c r="AI341" s="1412"/>
      <c r="AJ341" s="1578"/>
      <c r="AK341" s="1495"/>
      <c r="AL341" s="1580"/>
      <c r="AM341" s="1586"/>
      <c r="AN341" s="1549"/>
      <c r="AO341" s="1555"/>
      <c r="AP341" s="1553"/>
      <c r="AQ341" s="1555"/>
      <c r="AR341" s="1557"/>
      <c r="AS341" s="1559"/>
      <c r="AT341" s="672" t="str">
        <f t="shared" ref="AT341" si="401">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42"/>
      <c r="AV341" s="1493"/>
      <c r="AW341" s="652" t="str">
        <f>IF('別紙様式2-2（４・５月分）'!O259="","",'別紙様式2-2（４・５月分）'!O259)</f>
        <v/>
      </c>
      <c r="AX341" s="1507"/>
      <c r="AY341" s="673"/>
      <c r="AZ341" s="1321" t="str">
        <f>IF(OR(U341="新加算Ⅰ",U341="新加算Ⅱ",U341="新加算Ⅲ",U341="新加算Ⅳ",U341="新加算Ⅴ（１）",U341="新加算Ⅴ（２）",U341="新加算Ⅴ（３）",U341="新加算ⅠⅤ（４）",U341="新加算Ⅴ（５）",U341="新加算Ⅴ（６）",U341="新加算Ⅴ（８）",U341="新加算Ⅴ（11）"),IF(AJ341="○","","未入力"),"")</f>
        <v/>
      </c>
      <c r="BA341" s="1321" t="str">
        <f>IF(OR(V341="新加算Ⅰ",V341="新加算Ⅱ",V341="新加算Ⅲ",V341="新加算Ⅳ",V341="新加算Ⅴ（１）",V341="新加算Ⅴ（２）",V341="新加算Ⅴ（３）",V341="新加算ⅠⅤ（４）",V341="新加算Ⅴ（５）",V341="新加算Ⅴ（６）",V341="新加算Ⅴ（８）",V341="新加算Ⅴ（11）"),IF(AK341="○","","未入力"),"")</f>
        <v/>
      </c>
      <c r="BB341" s="1321" t="str">
        <f>IF(OR(V341="新加算Ⅴ（７）",V341="新加算Ⅴ（９）",V341="新加算Ⅴ（10）",V341="新加算Ⅴ（12）",V341="新加算Ⅴ（13）",V341="新加算Ⅴ（14）"),IF(AL341="○","","未入力"),"")</f>
        <v/>
      </c>
      <c r="BC341" s="1321" t="str">
        <f>IF(OR(V341="新加算Ⅰ",V341="新加算Ⅱ",V341="新加算Ⅲ",V341="新加算Ⅴ（１）",V341="新加算Ⅴ（３）",V341="新加算Ⅴ（８）"),IF(AM341="○","","未入力"),"")</f>
        <v/>
      </c>
      <c r="BD341" s="1588"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493" t="str">
        <f>IF(AND(U341&lt;&gt;"（参考）令和７年度の移行予定",OR(V341="新加算Ⅰ",V341="新加算Ⅴ（１）",V341="新加算Ⅴ（２）",V341="新加算Ⅴ（５）",V341="新加算Ⅴ（７）",V341="新加算Ⅴ（10）")),IF(AO341="","未入力",IF(AO341="いずれも取得していない","要件を満たさない","")),"")</f>
        <v/>
      </c>
      <c r="BF341" s="1493" t="str">
        <f>G338</f>
        <v/>
      </c>
      <c r="BG341" s="1493"/>
      <c r="BH341" s="1493"/>
    </row>
    <row r="342" spans="1:60" ht="30" customHeight="1">
      <c r="A342" s="1225">
        <v>83</v>
      </c>
      <c r="B342" s="1271" t="str">
        <f>IF(基本情報入力シート!C136="","",基本情報入力シート!C136)</f>
        <v/>
      </c>
      <c r="C342" s="1259"/>
      <c r="D342" s="1259"/>
      <c r="E342" s="1259"/>
      <c r="F342" s="1260"/>
      <c r="G342" s="1265" t="str">
        <f>IF(基本情報入力シート!M136="","",基本情報入力シート!M136)</f>
        <v/>
      </c>
      <c r="H342" s="1265" t="str">
        <f>IF(基本情報入力シート!R136="","",基本情報入力シート!R136)</f>
        <v/>
      </c>
      <c r="I342" s="1265" t="str">
        <f>IF(基本情報入力シート!W136="","",基本情報入力シート!W136)</f>
        <v/>
      </c>
      <c r="J342" s="1379" t="str">
        <f>IF(基本情報入力シート!X136="","",基本情報入力シート!X136)</f>
        <v/>
      </c>
      <c r="K342" s="1265" t="str">
        <f>IF(基本情報入力シート!Y136="","",基本情報入力シート!Y136)</f>
        <v/>
      </c>
      <c r="L342" s="1450" t="str">
        <f>IF(基本情報入力シート!AB136="","",基本情報入力シート!AB136)</f>
        <v/>
      </c>
      <c r="M342" s="1447" t="str">
        <f>IF(基本情報入力シート!AC136="","",基本情報入力シート!AC136)</f>
        <v/>
      </c>
      <c r="N342" s="647" t="str">
        <f>IF('別紙様式2-2（４・５月分）'!Q260="","",'別紙様式2-2（４・５月分）'!Q260)</f>
        <v/>
      </c>
      <c r="O342" s="1366" t="str">
        <f>IF(SUM('別紙様式2-2（４・５月分）'!R260:R262)=0,"",SUM('別紙様式2-2（４・５月分）'!R260:R262))</f>
        <v/>
      </c>
      <c r="P342" s="1380" t="str">
        <f>IFERROR(VLOOKUP('別紙様式2-2（４・５月分）'!AR260,【参考】数式用!$AT$5:$AU$22,2,FALSE),"")</f>
        <v/>
      </c>
      <c r="Q342" s="1381"/>
      <c r="R342" s="1382"/>
      <c r="S342" s="1392" t="str">
        <f>IFERROR(VLOOKUP(K342,【参考】数式用!$A$5:$AB$27,MATCH(P342,【参考】数式用!$B$4:$AB$4,0)+1,0),"")</f>
        <v/>
      </c>
      <c r="T342" s="1413" t="s">
        <v>2258</v>
      </c>
      <c r="U342" s="1562" t="str">
        <f>IF('別紙様式2-3（６月以降分）'!U342="","",'別紙様式2-3（６月以降分）'!U342)</f>
        <v/>
      </c>
      <c r="V342" s="1457" t="str">
        <f>IFERROR(VLOOKUP(K342,【参考】数式用!$A$5:$AB$27,MATCH(U342,【参考】数式用!$B$4:$AB$4,0)+1,0),"")</f>
        <v/>
      </c>
      <c r="W342" s="1350" t="s">
        <v>19</v>
      </c>
      <c r="X342" s="1534">
        <f>'別紙様式2-3（６月以降分）'!X342</f>
        <v>6</v>
      </c>
      <c r="Y342" s="1354" t="s">
        <v>10</v>
      </c>
      <c r="Z342" s="1534">
        <f>'別紙様式2-3（６月以降分）'!Z342</f>
        <v>6</v>
      </c>
      <c r="AA342" s="1354" t="s">
        <v>45</v>
      </c>
      <c r="AB342" s="1534">
        <f>'別紙様式2-3（６月以降分）'!AB342</f>
        <v>7</v>
      </c>
      <c r="AC342" s="1354" t="s">
        <v>10</v>
      </c>
      <c r="AD342" s="1534">
        <f>'別紙様式2-3（６月以降分）'!AD342</f>
        <v>3</v>
      </c>
      <c r="AE342" s="1354" t="s">
        <v>2172</v>
      </c>
      <c r="AF342" s="1354" t="s">
        <v>24</v>
      </c>
      <c r="AG342" s="1354">
        <f>IF(X342&gt;=1,(AB342*12+AD342)-(X342*12+Z342)+1,"")</f>
        <v>10</v>
      </c>
      <c r="AH342" s="1360" t="s">
        <v>38</v>
      </c>
      <c r="AI342" s="1481" t="str">
        <f>'別紙様式2-3（６月以降分）'!AI342</f>
        <v/>
      </c>
      <c r="AJ342" s="1542" t="str">
        <f>'別紙様式2-3（６月以降分）'!AJ342</f>
        <v/>
      </c>
      <c r="AK342" s="1538">
        <f>'別紙様式2-3（６月以降分）'!AK342</f>
        <v>0</v>
      </c>
      <c r="AL342" s="1540" t="str">
        <f>IF('別紙様式2-3（６月以降分）'!AL342="","",'別紙様式2-3（６月以降分）'!AL342)</f>
        <v/>
      </c>
      <c r="AM342" s="1571">
        <f>'別紙様式2-3（６月以降分）'!AM342</f>
        <v>0</v>
      </c>
      <c r="AN342" s="1573" t="str">
        <f>IF('別紙様式2-3（６月以降分）'!AN342="","",'別紙様式2-3（６月以降分）'!AN342)</f>
        <v/>
      </c>
      <c r="AO342" s="1403" t="str">
        <f>IF('別紙様式2-3（６月以降分）'!AO342="","",'別紙様式2-3（６月以降分）'!AO342)</f>
        <v/>
      </c>
      <c r="AP342" s="1502" t="str">
        <f>IF('別紙様式2-3（６月以降分）'!AP342="","",'別紙様式2-3（６月以降分）'!AP342)</f>
        <v/>
      </c>
      <c r="AQ342" s="1403" t="str">
        <f>IF('別紙様式2-3（６月以降分）'!AQ342="","",'別紙様式2-3（６月以降分）'!AQ342)</f>
        <v/>
      </c>
      <c r="AR342" s="1583" t="str">
        <f>IF('別紙様式2-3（６月以降分）'!AR342="","",'別紙様式2-3（６月以降分）'!AR342)</f>
        <v/>
      </c>
      <c r="AS342" s="1536" t="str">
        <f>IF('別紙様式2-3（６月以降分）'!AS342="","",'別紙様式2-3（６月以降分）'!AS342)</f>
        <v/>
      </c>
      <c r="AT342" s="667" t="str">
        <f t="shared" ref="AT342" si="402">IF(AV344="","",IF(V344&lt;V342,"！加算の要件上は問題ありませんが、令和６年度当初の新加算の加算率と比較して、移行後の加算率が下がる計画になっています。",""))</f>
        <v/>
      </c>
      <c r="AU342" s="674"/>
      <c r="AV342" s="1233"/>
      <c r="AW342" s="652" t="str">
        <f>IF('別紙様式2-2（４・５月分）'!O260="","",'別紙様式2-2（４・５月分）'!O260)</f>
        <v/>
      </c>
      <c r="AX342" s="1507" t="str">
        <f>IF(SUM('別紙様式2-2（４・５月分）'!P260:P262)=0,"",SUM('別紙様式2-2（４・５月分）'!P260:P262))</f>
        <v/>
      </c>
      <c r="AY342" s="1590" t="str">
        <f>IFERROR(VLOOKUP(K342,【参考】数式用!$AJ$2:$AK$24,2,FALSE),"")</f>
        <v/>
      </c>
      <c r="AZ342" s="584"/>
      <c r="BE342" s="428"/>
      <c r="BF342" s="1493" t="str">
        <f>G342</f>
        <v/>
      </c>
      <c r="BG342" s="1493"/>
      <c r="BH342" s="1493"/>
    </row>
    <row r="343" spans="1:60" ht="15" customHeight="1">
      <c r="A343" s="1226"/>
      <c r="B343" s="1272"/>
      <c r="C343" s="1261"/>
      <c r="D343" s="1261"/>
      <c r="E343" s="1261"/>
      <c r="F343" s="1262"/>
      <c r="G343" s="1266"/>
      <c r="H343" s="1266"/>
      <c r="I343" s="1266"/>
      <c r="J343" s="1372"/>
      <c r="K343" s="1266"/>
      <c r="L343" s="1451"/>
      <c r="M343" s="1448"/>
      <c r="N343" s="1370" t="str">
        <f>IF('別紙様式2-2（４・５月分）'!Q261="","",'別紙様式2-2（４・５月分）'!Q261)</f>
        <v/>
      </c>
      <c r="O343" s="1367"/>
      <c r="P343" s="1383"/>
      <c r="Q343" s="1384"/>
      <c r="R343" s="1385"/>
      <c r="S343" s="1393"/>
      <c r="T343" s="1414"/>
      <c r="U343" s="1563"/>
      <c r="V343" s="1458"/>
      <c r="W343" s="1351"/>
      <c r="X343" s="1535"/>
      <c r="Y343" s="1355"/>
      <c r="Z343" s="1535"/>
      <c r="AA343" s="1355"/>
      <c r="AB343" s="1535"/>
      <c r="AC343" s="1355"/>
      <c r="AD343" s="1535"/>
      <c r="AE343" s="1355"/>
      <c r="AF343" s="1355"/>
      <c r="AG343" s="1355"/>
      <c r="AH343" s="1361"/>
      <c r="AI343" s="1482"/>
      <c r="AJ343" s="1543"/>
      <c r="AK343" s="1539"/>
      <c r="AL343" s="1541"/>
      <c r="AM343" s="1572"/>
      <c r="AN343" s="1574"/>
      <c r="AO343" s="1404"/>
      <c r="AP343" s="1533"/>
      <c r="AQ343" s="1404"/>
      <c r="AR343" s="1584"/>
      <c r="AS343" s="1537"/>
      <c r="AT343" s="1532" t="str">
        <f t="shared" ref="AT343" si="403">IF(AV344="","",IF(OR(AB344="",AB344&lt;&gt;7,AD344="",AD344&lt;&gt;3),"！算定期間の終わりが令和７年３月になっていません。年度内の廃止予定等がなければ、算定対象月を令和７年３月にしてください。",""))</f>
        <v/>
      </c>
      <c r="AU343" s="674"/>
      <c r="AV343" s="1493"/>
      <c r="AW343" s="1518" t="str">
        <f>IF('別紙様式2-2（４・５月分）'!O261="","",'別紙様式2-2（４・５月分）'!O261)</f>
        <v/>
      </c>
      <c r="AX343" s="1507"/>
      <c r="AY343" s="1589"/>
      <c r="AZ343" s="521"/>
      <c r="BE343" s="428"/>
      <c r="BF343" s="1493" t="str">
        <f>G342</f>
        <v/>
      </c>
      <c r="BG343" s="1493"/>
      <c r="BH343" s="1493"/>
    </row>
    <row r="344" spans="1:60" ht="15" customHeight="1">
      <c r="A344" s="1240"/>
      <c r="B344" s="1272"/>
      <c r="C344" s="1261"/>
      <c r="D344" s="1261"/>
      <c r="E344" s="1261"/>
      <c r="F344" s="1262"/>
      <c r="G344" s="1266"/>
      <c r="H344" s="1266"/>
      <c r="I344" s="1266"/>
      <c r="J344" s="1372"/>
      <c r="K344" s="1266"/>
      <c r="L344" s="1451"/>
      <c r="M344" s="1448"/>
      <c r="N344" s="1371"/>
      <c r="O344" s="1368"/>
      <c r="P344" s="1390" t="s">
        <v>2179</v>
      </c>
      <c r="Q344" s="1504" t="str">
        <f>IFERROR(VLOOKUP('別紙様式2-2（４・５月分）'!AR260,【参考】数式用!$AT$5:$AV$22,3,FALSE),"")</f>
        <v/>
      </c>
      <c r="R344" s="1388" t="s">
        <v>2190</v>
      </c>
      <c r="S344" s="1396" t="str">
        <f>IFERROR(VLOOKUP(K342,【参考】数式用!$A$5:$AB$27,MATCH(Q344,【参考】数式用!$B$4:$AB$4,0)+1,0),"")</f>
        <v/>
      </c>
      <c r="T344" s="1459" t="s">
        <v>2267</v>
      </c>
      <c r="U344" s="1569"/>
      <c r="V344" s="1463" t="str">
        <f>IFERROR(VLOOKUP(K342,【参考】数式用!$A$5:$AB$27,MATCH(U344,【参考】数式用!$B$4:$AB$4,0)+1,0),"")</f>
        <v/>
      </c>
      <c r="W344" s="1465" t="s">
        <v>19</v>
      </c>
      <c r="X344" s="1564"/>
      <c r="Y344" s="1407" t="s">
        <v>10</v>
      </c>
      <c r="Z344" s="1564"/>
      <c r="AA344" s="1407" t="s">
        <v>45</v>
      </c>
      <c r="AB344" s="1564"/>
      <c r="AC344" s="1407" t="s">
        <v>10</v>
      </c>
      <c r="AD344" s="1564"/>
      <c r="AE344" s="1407" t="s">
        <v>2172</v>
      </c>
      <c r="AF344" s="1407" t="s">
        <v>24</v>
      </c>
      <c r="AG344" s="1407" t="str">
        <f>IF(X344&gt;=1,(AB344*12+AD344)-(X344*12+Z344)+1,"")</f>
        <v/>
      </c>
      <c r="AH344" s="1409" t="s">
        <v>38</v>
      </c>
      <c r="AI344" s="1411" t="str">
        <f t="shared" ref="AI344" si="404">IFERROR(ROUNDDOWN(ROUND(L342*V344,0)*M342,0)*AG344,"")</f>
        <v/>
      </c>
      <c r="AJ344" s="1577" t="str">
        <f>IFERROR(ROUNDDOWN(ROUND((L342*(V344-AX342)),0)*M342,0)*AG344,"")</f>
        <v/>
      </c>
      <c r="AK344" s="1494" t="str">
        <f>IFERROR(ROUNDDOWN(ROUNDDOWN(ROUND(L342*VLOOKUP(K342,【参考】数式用!$A$5:$AB$27,MATCH("新加算Ⅳ",【参考】数式用!$B$4:$AB$4,0)+1,0),0)*M342,0)*AG344*0.5,0),"")</f>
        <v/>
      </c>
      <c r="AL344" s="1579"/>
      <c r="AM344" s="1585" t="str">
        <f>IFERROR(IF('別紙様式2-2（４・５月分）'!Q262="ベア加算","", IF(OR(U344="新加算Ⅰ",U344="新加算Ⅱ",U344="新加算Ⅲ",U344="新加算Ⅳ"),ROUNDDOWN(ROUND(L342*VLOOKUP(K342,【参考】数式用!$A$5:$I$27,MATCH("ベア加算",【参考】数式用!$B$4:$I$4,0)+1,0),0)*M342,0)*AG344,"")),"")</f>
        <v/>
      </c>
      <c r="AN344" s="1548"/>
      <c r="AO344" s="1554"/>
      <c r="AP344" s="1552"/>
      <c r="AQ344" s="1554"/>
      <c r="AR344" s="1556"/>
      <c r="AS344" s="1558"/>
      <c r="AT344" s="1532"/>
      <c r="AU344" s="542"/>
      <c r="AV344" s="1493" t="str">
        <f t="shared" ref="AV344" si="405">IF(OR(AB342&lt;&gt;7,AD342&lt;&gt;3),"V列に色付け","")</f>
        <v/>
      </c>
      <c r="AW344" s="1518"/>
      <c r="AX344" s="1507"/>
      <c r="AY344" s="671"/>
      <c r="AZ344" s="1321" t="str">
        <f>IF(AM344&lt;&gt;"",IF(AN344="○","入力済","未入力"),"")</f>
        <v/>
      </c>
      <c r="BA344" s="1321"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321" t="str">
        <f>IF(OR(U344="新加算Ⅴ（７）",U344="新加算Ⅴ（９）",U344="新加算Ⅴ（10）",U344="新加算Ⅴ（12）",U344="新加算Ⅴ（13）",U344="新加算Ⅴ（14）"),IF(OR(AP344="○",AP344="令和６年度中に満たす"),"入力済","未入力"),"")</f>
        <v/>
      </c>
      <c r="BC344" s="1321" t="str">
        <f>IF(OR(U344="新加算Ⅰ",U344="新加算Ⅱ",U344="新加算Ⅲ",U344="新加算Ⅴ（１）",U344="新加算Ⅴ（３）",U344="新加算Ⅴ（８）"),IF(OR(AQ344="○",AQ344="令和６年度中に満たす"),"入力済","未入力"),"")</f>
        <v/>
      </c>
      <c r="BD344" s="1588"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493" t="str">
        <f>IF(OR(U344="新加算Ⅰ",U344="新加算Ⅴ（１）",U344="新加算Ⅴ（２）",U344="新加算Ⅴ（５）",U344="新加算Ⅴ（７）",U344="新加算Ⅴ（10）"),IF(AS344="","未入力","入力済"),"")</f>
        <v/>
      </c>
      <c r="BF344" s="1493" t="str">
        <f>G342</f>
        <v/>
      </c>
      <c r="BG344" s="1493"/>
      <c r="BH344" s="1493"/>
    </row>
    <row r="345" spans="1:60" ht="30" customHeight="1" thickBot="1">
      <c r="A345" s="1227"/>
      <c r="B345" s="1376"/>
      <c r="C345" s="1377"/>
      <c r="D345" s="1377"/>
      <c r="E345" s="1377"/>
      <c r="F345" s="1378"/>
      <c r="G345" s="1267"/>
      <c r="H345" s="1267"/>
      <c r="I345" s="1267"/>
      <c r="J345" s="1373"/>
      <c r="K345" s="1267"/>
      <c r="L345" s="1452"/>
      <c r="M345" s="1449"/>
      <c r="N345" s="650" t="str">
        <f>IF('別紙様式2-2（４・５月分）'!Q262="","",'別紙様式2-2（４・５月分）'!Q262)</f>
        <v/>
      </c>
      <c r="O345" s="1369"/>
      <c r="P345" s="1391"/>
      <c r="Q345" s="1505"/>
      <c r="R345" s="1389"/>
      <c r="S345" s="1395"/>
      <c r="T345" s="1460"/>
      <c r="U345" s="1570"/>
      <c r="V345" s="1464"/>
      <c r="W345" s="1466"/>
      <c r="X345" s="1565"/>
      <c r="Y345" s="1408"/>
      <c r="Z345" s="1565"/>
      <c r="AA345" s="1408"/>
      <c r="AB345" s="1565"/>
      <c r="AC345" s="1408"/>
      <c r="AD345" s="1565"/>
      <c r="AE345" s="1408"/>
      <c r="AF345" s="1408"/>
      <c r="AG345" s="1408"/>
      <c r="AH345" s="1410"/>
      <c r="AI345" s="1412"/>
      <c r="AJ345" s="1578"/>
      <c r="AK345" s="1495"/>
      <c r="AL345" s="1580"/>
      <c r="AM345" s="1586"/>
      <c r="AN345" s="1549"/>
      <c r="AO345" s="1555"/>
      <c r="AP345" s="1553"/>
      <c r="AQ345" s="1555"/>
      <c r="AR345" s="1557"/>
      <c r="AS345" s="1559"/>
      <c r="AT345" s="672" t="str">
        <f t="shared" ref="AT345" si="406">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42"/>
      <c r="AV345" s="1493"/>
      <c r="AW345" s="652" t="str">
        <f>IF('別紙様式2-2（４・５月分）'!O262="","",'別紙様式2-2（４・５月分）'!O262)</f>
        <v/>
      </c>
      <c r="AX345" s="1507"/>
      <c r="AY345" s="673"/>
      <c r="AZ345" s="1321" t="str">
        <f>IF(OR(U345="新加算Ⅰ",U345="新加算Ⅱ",U345="新加算Ⅲ",U345="新加算Ⅳ",U345="新加算Ⅴ（１）",U345="新加算Ⅴ（２）",U345="新加算Ⅴ（３）",U345="新加算ⅠⅤ（４）",U345="新加算Ⅴ（５）",U345="新加算Ⅴ（６）",U345="新加算Ⅴ（８）",U345="新加算Ⅴ（11）"),IF(AJ345="○","","未入力"),"")</f>
        <v/>
      </c>
      <c r="BA345" s="1321" t="str">
        <f>IF(OR(V345="新加算Ⅰ",V345="新加算Ⅱ",V345="新加算Ⅲ",V345="新加算Ⅳ",V345="新加算Ⅴ（１）",V345="新加算Ⅴ（２）",V345="新加算Ⅴ（３）",V345="新加算ⅠⅤ（４）",V345="新加算Ⅴ（５）",V345="新加算Ⅴ（６）",V345="新加算Ⅴ（８）",V345="新加算Ⅴ（11）"),IF(AK345="○","","未入力"),"")</f>
        <v/>
      </c>
      <c r="BB345" s="1321" t="str">
        <f>IF(OR(V345="新加算Ⅴ（７）",V345="新加算Ⅴ（９）",V345="新加算Ⅴ（10）",V345="新加算Ⅴ（12）",V345="新加算Ⅴ（13）",V345="新加算Ⅴ（14）"),IF(AL345="○","","未入力"),"")</f>
        <v/>
      </c>
      <c r="BC345" s="1321" t="str">
        <f>IF(OR(V345="新加算Ⅰ",V345="新加算Ⅱ",V345="新加算Ⅲ",V345="新加算Ⅴ（１）",V345="新加算Ⅴ（３）",V345="新加算Ⅴ（８）"),IF(AM345="○","","未入力"),"")</f>
        <v/>
      </c>
      <c r="BD345" s="1588"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493" t="str">
        <f>IF(AND(U345&lt;&gt;"（参考）令和７年度の移行予定",OR(V345="新加算Ⅰ",V345="新加算Ⅴ（１）",V345="新加算Ⅴ（２）",V345="新加算Ⅴ（５）",V345="新加算Ⅴ（７）",V345="新加算Ⅴ（10）")),IF(AO345="","未入力",IF(AO345="いずれも取得していない","要件を満たさない","")),"")</f>
        <v/>
      </c>
      <c r="BF345" s="1493" t="str">
        <f>G342</f>
        <v/>
      </c>
      <c r="BG345" s="1493"/>
      <c r="BH345" s="1493"/>
    </row>
    <row r="346" spans="1:60" ht="30" customHeight="1">
      <c r="A346" s="1241">
        <v>84</v>
      </c>
      <c r="B346" s="1272" t="str">
        <f>IF(基本情報入力シート!C137="","",基本情報入力シート!C137)</f>
        <v/>
      </c>
      <c r="C346" s="1261"/>
      <c r="D346" s="1261"/>
      <c r="E346" s="1261"/>
      <c r="F346" s="1262"/>
      <c r="G346" s="1266" t="str">
        <f>IF(基本情報入力シート!M137="","",基本情報入力シート!M137)</f>
        <v/>
      </c>
      <c r="H346" s="1266" t="str">
        <f>IF(基本情報入力シート!R137="","",基本情報入力シート!R137)</f>
        <v/>
      </c>
      <c r="I346" s="1266" t="str">
        <f>IF(基本情報入力シート!W137="","",基本情報入力シート!W137)</f>
        <v/>
      </c>
      <c r="J346" s="1372" t="str">
        <f>IF(基本情報入力シート!X137="","",基本情報入力シート!X137)</f>
        <v/>
      </c>
      <c r="K346" s="1266" t="str">
        <f>IF(基本情報入力シート!Y137="","",基本情報入力シート!Y137)</f>
        <v/>
      </c>
      <c r="L346" s="1451" t="str">
        <f>IF(基本情報入力シート!AB137="","",基本情報入力シート!AB137)</f>
        <v/>
      </c>
      <c r="M346" s="1453" t="str">
        <f>IF(基本情報入力シート!AC137="","",基本情報入力シート!AC137)</f>
        <v/>
      </c>
      <c r="N346" s="647" t="str">
        <f>IF('別紙様式2-2（４・５月分）'!Q263="","",'別紙様式2-2（４・５月分）'!Q263)</f>
        <v/>
      </c>
      <c r="O346" s="1366" t="str">
        <f>IF(SUM('別紙様式2-2（４・５月分）'!R263:R265)=0,"",SUM('別紙様式2-2（４・５月分）'!R263:R265))</f>
        <v/>
      </c>
      <c r="P346" s="1380" t="str">
        <f>IFERROR(VLOOKUP('別紙様式2-2（４・５月分）'!AR263,【参考】数式用!$AT$5:$AU$22,2,FALSE),"")</f>
        <v/>
      </c>
      <c r="Q346" s="1381"/>
      <c r="R346" s="1382"/>
      <c r="S346" s="1392" t="str">
        <f>IFERROR(VLOOKUP(K346,【参考】数式用!$A$5:$AB$27,MATCH(P346,【参考】数式用!$B$4:$AB$4,0)+1,0),"")</f>
        <v/>
      </c>
      <c r="T346" s="1413" t="s">
        <v>2258</v>
      </c>
      <c r="U346" s="1562" t="str">
        <f>IF('別紙様式2-3（６月以降分）'!U346="","",'別紙様式2-3（６月以降分）'!U346)</f>
        <v/>
      </c>
      <c r="V346" s="1457" t="str">
        <f>IFERROR(VLOOKUP(K346,【参考】数式用!$A$5:$AB$27,MATCH(U346,【参考】数式用!$B$4:$AB$4,0)+1,0),"")</f>
        <v/>
      </c>
      <c r="W346" s="1350" t="s">
        <v>19</v>
      </c>
      <c r="X346" s="1534">
        <f>'別紙様式2-3（６月以降分）'!X346</f>
        <v>6</v>
      </c>
      <c r="Y346" s="1354" t="s">
        <v>10</v>
      </c>
      <c r="Z346" s="1534">
        <f>'別紙様式2-3（６月以降分）'!Z346</f>
        <v>6</v>
      </c>
      <c r="AA346" s="1354" t="s">
        <v>45</v>
      </c>
      <c r="AB346" s="1534">
        <f>'別紙様式2-3（６月以降分）'!AB346</f>
        <v>7</v>
      </c>
      <c r="AC346" s="1354" t="s">
        <v>10</v>
      </c>
      <c r="AD346" s="1534">
        <f>'別紙様式2-3（６月以降分）'!AD346</f>
        <v>3</v>
      </c>
      <c r="AE346" s="1354" t="s">
        <v>2172</v>
      </c>
      <c r="AF346" s="1354" t="s">
        <v>24</v>
      </c>
      <c r="AG346" s="1354">
        <f>IF(X346&gt;=1,(AB346*12+AD346)-(X346*12+Z346)+1,"")</f>
        <v>10</v>
      </c>
      <c r="AH346" s="1360" t="s">
        <v>38</v>
      </c>
      <c r="AI346" s="1481" t="str">
        <f>'別紙様式2-3（６月以降分）'!AI346</f>
        <v/>
      </c>
      <c r="AJ346" s="1542" t="str">
        <f>'別紙様式2-3（６月以降分）'!AJ346</f>
        <v/>
      </c>
      <c r="AK346" s="1538">
        <f>'別紙様式2-3（６月以降分）'!AK346</f>
        <v>0</v>
      </c>
      <c r="AL346" s="1540" t="str">
        <f>IF('別紙様式2-3（６月以降分）'!AL346="","",'別紙様式2-3（６月以降分）'!AL346)</f>
        <v/>
      </c>
      <c r="AM346" s="1571">
        <f>'別紙様式2-3（６月以降分）'!AM346</f>
        <v>0</v>
      </c>
      <c r="AN346" s="1573" t="str">
        <f>IF('別紙様式2-3（６月以降分）'!AN346="","",'別紙様式2-3（６月以降分）'!AN346)</f>
        <v/>
      </c>
      <c r="AO346" s="1403" t="str">
        <f>IF('別紙様式2-3（６月以降分）'!AO346="","",'別紙様式2-3（６月以降分）'!AO346)</f>
        <v/>
      </c>
      <c r="AP346" s="1502" t="str">
        <f>IF('別紙様式2-3（６月以降分）'!AP346="","",'別紙様式2-3（６月以降分）'!AP346)</f>
        <v/>
      </c>
      <c r="AQ346" s="1403" t="str">
        <f>IF('別紙様式2-3（６月以降分）'!AQ346="","",'別紙様式2-3（６月以降分）'!AQ346)</f>
        <v/>
      </c>
      <c r="AR346" s="1583" t="str">
        <f>IF('別紙様式2-3（６月以降分）'!AR346="","",'別紙様式2-3（６月以降分）'!AR346)</f>
        <v/>
      </c>
      <c r="AS346" s="1536" t="str">
        <f>IF('別紙様式2-3（６月以降分）'!AS346="","",'別紙様式2-3（６月以降分）'!AS346)</f>
        <v/>
      </c>
      <c r="AT346" s="667" t="str">
        <f t="shared" ref="AT346" si="407">IF(AV348="","",IF(V348&lt;V346,"！加算の要件上は問題ありませんが、令和６年度当初の新加算の加算率と比較して、移行後の加算率が下がる計画になっています。",""))</f>
        <v/>
      </c>
      <c r="AU346" s="674"/>
      <c r="AV346" s="1233"/>
      <c r="AW346" s="652" t="str">
        <f>IF('別紙様式2-2（４・５月分）'!O263="","",'別紙様式2-2（４・５月分）'!O263)</f>
        <v/>
      </c>
      <c r="AX346" s="1507" t="str">
        <f>IF(SUM('別紙様式2-2（４・５月分）'!P263:P265)=0,"",SUM('別紙様式2-2（４・５月分）'!P263:P265))</f>
        <v/>
      </c>
      <c r="AY346" s="1589" t="str">
        <f>IFERROR(VLOOKUP(K346,【参考】数式用!$AJ$2:$AK$24,2,FALSE),"")</f>
        <v/>
      </c>
      <c r="AZ346" s="584"/>
      <c r="BE346" s="428"/>
      <c r="BF346" s="1493" t="str">
        <f>G346</f>
        <v/>
      </c>
      <c r="BG346" s="1493"/>
      <c r="BH346" s="1493"/>
    </row>
    <row r="347" spans="1:60" ht="15" customHeight="1">
      <c r="A347" s="1226"/>
      <c r="B347" s="1272"/>
      <c r="C347" s="1261"/>
      <c r="D347" s="1261"/>
      <c r="E347" s="1261"/>
      <c r="F347" s="1262"/>
      <c r="G347" s="1266"/>
      <c r="H347" s="1266"/>
      <c r="I347" s="1266"/>
      <c r="J347" s="1372"/>
      <c r="K347" s="1266"/>
      <c r="L347" s="1451"/>
      <c r="M347" s="1453"/>
      <c r="N347" s="1370" t="str">
        <f>IF('別紙様式2-2（４・５月分）'!Q264="","",'別紙様式2-2（４・５月分）'!Q264)</f>
        <v/>
      </c>
      <c r="O347" s="1367"/>
      <c r="P347" s="1383"/>
      <c r="Q347" s="1384"/>
      <c r="R347" s="1385"/>
      <c r="S347" s="1393"/>
      <c r="T347" s="1414"/>
      <c r="U347" s="1563"/>
      <c r="V347" s="1458"/>
      <c r="W347" s="1351"/>
      <c r="X347" s="1535"/>
      <c r="Y347" s="1355"/>
      <c r="Z347" s="1535"/>
      <c r="AA347" s="1355"/>
      <c r="AB347" s="1535"/>
      <c r="AC347" s="1355"/>
      <c r="AD347" s="1535"/>
      <c r="AE347" s="1355"/>
      <c r="AF347" s="1355"/>
      <c r="AG347" s="1355"/>
      <c r="AH347" s="1361"/>
      <c r="AI347" s="1482"/>
      <c r="AJ347" s="1543"/>
      <c r="AK347" s="1539"/>
      <c r="AL347" s="1541"/>
      <c r="AM347" s="1572"/>
      <c r="AN347" s="1574"/>
      <c r="AO347" s="1404"/>
      <c r="AP347" s="1533"/>
      <c r="AQ347" s="1404"/>
      <c r="AR347" s="1584"/>
      <c r="AS347" s="1537"/>
      <c r="AT347" s="1532" t="str">
        <f t="shared" ref="AT347" si="408">IF(AV348="","",IF(OR(AB348="",AB348&lt;&gt;7,AD348="",AD348&lt;&gt;3),"！算定期間の終わりが令和７年３月になっていません。年度内の廃止予定等がなければ、算定対象月を令和７年３月にしてください。",""))</f>
        <v/>
      </c>
      <c r="AU347" s="674"/>
      <c r="AV347" s="1493"/>
      <c r="AW347" s="1518" t="str">
        <f>IF('別紙様式2-2（４・５月分）'!O264="","",'別紙様式2-2（４・５月分）'!O264)</f>
        <v/>
      </c>
      <c r="AX347" s="1507"/>
      <c r="AY347" s="1589"/>
      <c r="AZ347" s="521"/>
      <c r="BE347" s="428"/>
      <c r="BF347" s="1493" t="str">
        <f>G346</f>
        <v/>
      </c>
      <c r="BG347" s="1493"/>
      <c r="BH347" s="1493"/>
    </row>
    <row r="348" spans="1:60" ht="15" customHeight="1">
      <c r="A348" s="1240"/>
      <c r="B348" s="1272"/>
      <c r="C348" s="1261"/>
      <c r="D348" s="1261"/>
      <c r="E348" s="1261"/>
      <c r="F348" s="1262"/>
      <c r="G348" s="1266"/>
      <c r="H348" s="1266"/>
      <c r="I348" s="1266"/>
      <c r="J348" s="1372"/>
      <c r="K348" s="1266"/>
      <c r="L348" s="1451"/>
      <c r="M348" s="1453"/>
      <c r="N348" s="1371"/>
      <c r="O348" s="1368"/>
      <c r="P348" s="1390" t="s">
        <v>2179</v>
      </c>
      <c r="Q348" s="1504" t="str">
        <f>IFERROR(VLOOKUP('別紙様式2-2（４・５月分）'!AR263,【参考】数式用!$AT$5:$AV$22,3,FALSE),"")</f>
        <v/>
      </c>
      <c r="R348" s="1388" t="s">
        <v>2190</v>
      </c>
      <c r="S348" s="1394" t="str">
        <f>IFERROR(VLOOKUP(K346,【参考】数式用!$A$5:$AB$27,MATCH(Q348,【参考】数式用!$B$4:$AB$4,0)+1,0),"")</f>
        <v/>
      </c>
      <c r="T348" s="1459" t="s">
        <v>2267</v>
      </c>
      <c r="U348" s="1569"/>
      <c r="V348" s="1463" t="str">
        <f>IFERROR(VLOOKUP(K346,【参考】数式用!$A$5:$AB$27,MATCH(U348,【参考】数式用!$B$4:$AB$4,0)+1,0),"")</f>
        <v/>
      </c>
      <c r="W348" s="1465" t="s">
        <v>19</v>
      </c>
      <c r="X348" s="1564"/>
      <c r="Y348" s="1407" t="s">
        <v>10</v>
      </c>
      <c r="Z348" s="1564"/>
      <c r="AA348" s="1407" t="s">
        <v>45</v>
      </c>
      <c r="AB348" s="1564"/>
      <c r="AC348" s="1407" t="s">
        <v>10</v>
      </c>
      <c r="AD348" s="1564"/>
      <c r="AE348" s="1407" t="s">
        <v>2172</v>
      </c>
      <c r="AF348" s="1407" t="s">
        <v>24</v>
      </c>
      <c r="AG348" s="1407" t="str">
        <f>IF(X348&gt;=1,(AB348*12+AD348)-(X348*12+Z348)+1,"")</f>
        <v/>
      </c>
      <c r="AH348" s="1409" t="s">
        <v>38</v>
      </c>
      <c r="AI348" s="1411" t="str">
        <f t="shared" ref="AI348" si="409">IFERROR(ROUNDDOWN(ROUND(L346*V348,0)*M346,0)*AG348,"")</f>
        <v/>
      </c>
      <c r="AJ348" s="1577" t="str">
        <f>IFERROR(ROUNDDOWN(ROUND((L346*(V348-AX346)),0)*M346,0)*AG348,"")</f>
        <v/>
      </c>
      <c r="AK348" s="1494" t="str">
        <f>IFERROR(ROUNDDOWN(ROUNDDOWN(ROUND(L346*VLOOKUP(K346,【参考】数式用!$A$5:$AB$27,MATCH("新加算Ⅳ",【参考】数式用!$B$4:$AB$4,0)+1,0),0)*M346,0)*AG348*0.5,0),"")</f>
        <v/>
      </c>
      <c r="AL348" s="1579"/>
      <c r="AM348" s="1585" t="str">
        <f>IFERROR(IF('別紙様式2-2（４・５月分）'!Q265="ベア加算","", IF(OR(U348="新加算Ⅰ",U348="新加算Ⅱ",U348="新加算Ⅲ",U348="新加算Ⅳ"),ROUNDDOWN(ROUND(L346*VLOOKUP(K346,【参考】数式用!$A$5:$I$27,MATCH("ベア加算",【参考】数式用!$B$4:$I$4,0)+1,0),0)*M346,0)*AG348,"")),"")</f>
        <v/>
      </c>
      <c r="AN348" s="1548"/>
      <c r="AO348" s="1554"/>
      <c r="AP348" s="1552"/>
      <c r="AQ348" s="1554"/>
      <c r="AR348" s="1556"/>
      <c r="AS348" s="1558"/>
      <c r="AT348" s="1532"/>
      <c r="AU348" s="542"/>
      <c r="AV348" s="1493" t="str">
        <f t="shared" ref="AV348" si="410">IF(OR(AB346&lt;&gt;7,AD346&lt;&gt;3),"V列に色付け","")</f>
        <v/>
      </c>
      <c r="AW348" s="1518"/>
      <c r="AX348" s="1507"/>
      <c r="AY348" s="671"/>
      <c r="AZ348" s="1321" t="str">
        <f>IF(AM348&lt;&gt;"",IF(AN348="○","入力済","未入力"),"")</f>
        <v/>
      </c>
      <c r="BA348" s="1321"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321" t="str">
        <f>IF(OR(U348="新加算Ⅴ（７）",U348="新加算Ⅴ（９）",U348="新加算Ⅴ（10）",U348="新加算Ⅴ（12）",U348="新加算Ⅴ（13）",U348="新加算Ⅴ（14）"),IF(OR(AP348="○",AP348="令和６年度中に満たす"),"入力済","未入力"),"")</f>
        <v/>
      </c>
      <c r="BC348" s="1321" t="str">
        <f>IF(OR(U348="新加算Ⅰ",U348="新加算Ⅱ",U348="新加算Ⅲ",U348="新加算Ⅴ（１）",U348="新加算Ⅴ（３）",U348="新加算Ⅴ（８）"),IF(OR(AQ348="○",AQ348="令和６年度中に満たす"),"入力済","未入力"),"")</f>
        <v/>
      </c>
      <c r="BD348" s="1588"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493" t="str">
        <f>IF(OR(U348="新加算Ⅰ",U348="新加算Ⅴ（１）",U348="新加算Ⅴ（２）",U348="新加算Ⅴ（５）",U348="新加算Ⅴ（７）",U348="新加算Ⅴ（10）"),IF(AS348="","未入力","入力済"),"")</f>
        <v/>
      </c>
      <c r="BF348" s="1493" t="str">
        <f>G346</f>
        <v/>
      </c>
      <c r="BG348" s="1493"/>
      <c r="BH348" s="1493"/>
    </row>
    <row r="349" spans="1:60" ht="30" customHeight="1" thickBot="1">
      <c r="A349" s="1227"/>
      <c r="B349" s="1376"/>
      <c r="C349" s="1377"/>
      <c r="D349" s="1377"/>
      <c r="E349" s="1377"/>
      <c r="F349" s="1378"/>
      <c r="G349" s="1267"/>
      <c r="H349" s="1267"/>
      <c r="I349" s="1267"/>
      <c r="J349" s="1373"/>
      <c r="K349" s="1267"/>
      <c r="L349" s="1452"/>
      <c r="M349" s="1454"/>
      <c r="N349" s="650" t="str">
        <f>IF('別紙様式2-2（４・５月分）'!Q265="","",'別紙様式2-2（４・５月分）'!Q265)</f>
        <v/>
      </c>
      <c r="O349" s="1369"/>
      <c r="P349" s="1391"/>
      <c r="Q349" s="1505"/>
      <c r="R349" s="1389"/>
      <c r="S349" s="1395"/>
      <c r="T349" s="1460"/>
      <c r="U349" s="1570"/>
      <c r="V349" s="1464"/>
      <c r="W349" s="1466"/>
      <c r="X349" s="1565"/>
      <c r="Y349" s="1408"/>
      <c r="Z349" s="1565"/>
      <c r="AA349" s="1408"/>
      <c r="AB349" s="1565"/>
      <c r="AC349" s="1408"/>
      <c r="AD349" s="1565"/>
      <c r="AE349" s="1408"/>
      <c r="AF349" s="1408"/>
      <c r="AG349" s="1408"/>
      <c r="AH349" s="1410"/>
      <c r="AI349" s="1412"/>
      <c r="AJ349" s="1578"/>
      <c r="AK349" s="1495"/>
      <c r="AL349" s="1580"/>
      <c r="AM349" s="1586"/>
      <c r="AN349" s="1549"/>
      <c r="AO349" s="1555"/>
      <c r="AP349" s="1553"/>
      <c r="AQ349" s="1555"/>
      <c r="AR349" s="1557"/>
      <c r="AS349" s="1559"/>
      <c r="AT349" s="672" t="str">
        <f t="shared" ref="AT349" si="411">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42"/>
      <c r="AV349" s="1493"/>
      <c r="AW349" s="652" t="str">
        <f>IF('別紙様式2-2（４・５月分）'!O265="","",'別紙様式2-2（４・５月分）'!O265)</f>
        <v/>
      </c>
      <c r="AX349" s="1507"/>
      <c r="AY349" s="673"/>
      <c r="AZ349" s="1321" t="str">
        <f>IF(OR(U349="新加算Ⅰ",U349="新加算Ⅱ",U349="新加算Ⅲ",U349="新加算Ⅳ",U349="新加算Ⅴ（１）",U349="新加算Ⅴ（２）",U349="新加算Ⅴ（３）",U349="新加算ⅠⅤ（４）",U349="新加算Ⅴ（５）",U349="新加算Ⅴ（６）",U349="新加算Ⅴ（８）",U349="新加算Ⅴ（11）"),IF(AJ349="○","","未入力"),"")</f>
        <v/>
      </c>
      <c r="BA349" s="1321" t="str">
        <f>IF(OR(V349="新加算Ⅰ",V349="新加算Ⅱ",V349="新加算Ⅲ",V349="新加算Ⅳ",V349="新加算Ⅴ（１）",V349="新加算Ⅴ（２）",V349="新加算Ⅴ（３）",V349="新加算ⅠⅤ（４）",V349="新加算Ⅴ（５）",V349="新加算Ⅴ（６）",V349="新加算Ⅴ（８）",V349="新加算Ⅴ（11）"),IF(AK349="○","","未入力"),"")</f>
        <v/>
      </c>
      <c r="BB349" s="1321" t="str">
        <f>IF(OR(V349="新加算Ⅴ（７）",V349="新加算Ⅴ（９）",V349="新加算Ⅴ（10）",V349="新加算Ⅴ（12）",V349="新加算Ⅴ（13）",V349="新加算Ⅴ（14）"),IF(AL349="○","","未入力"),"")</f>
        <v/>
      </c>
      <c r="BC349" s="1321" t="str">
        <f>IF(OR(V349="新加算Ⅰ",V349="新加算Ⅱ",V349="新加算Ⅲ",V349="新加算Ⅴ（１）",V349="新加算Ⅴ（３）",V349="新加算Ⅴ（８）"),IF(AM349="○","","未入力"),"")</f>
        <v/>
      </c>
      <c r="BD349" s="1588"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493" t="str">
        <f>IF(AND(U349&lt;&gt;"（参考）令和７年度の移行予定",OR(V349="新加算Ⅰ",V349="新加算Ⅴ（１）",V349="新加算Ⅴ（２）",V349="新加算Ⅴ（５）",V349="新加算Ⅴ（７）",V349="新加算Ⅴ（10）")),IF(AO349="","未入力",IF(AO349="いずれも取得していない","要件を満たさない","")),"")</f>
        <v/>
      </c>
      <c r="BF349" s="1493" t="str">
        <f>G346</f>
        <v/>
      </c>
      <c r="BG349" s="1493"/>
      <c r="BH349" s="1493"/>
    </row>
    <row r="350" spans="1:60" ht="30" customHeight="1">
      <c r="A350" s="1225">
        <v>85</v>
      </c>
      <c r="B350" s="1271" t="str">
        <f>IF(基本情報入力シート!C138="","",基本情報入力シート!C138)</f>
        <v/>
      </c>
      <c r="C350" s="1259"/>
      <c r="D350" s="1259"/>
      <c r="E350" s="1259"/>
      <c r="F350" s="1260"/>
      <c r="G350" s="1265" t="str">
        <f>IF(基本情報入力シート!M138="","",基本情報入力シート!M138)</f>
        <v/>
      </c>
      <c r="H350" s="1265" t="str">
        <f>IF(基本情報入力シート!R138="","",基本情報入力シート!R138)</f>
        <v/>
      </c>
      <c r="I350" s="1265" t="str">
        <f>IF(基本情報入力シート!W138="","",基本情報入力シート!W138)</f>
        <v/>
      </c>
      <c r="J350" s="1379" t="str">
        <f>IF(基本情報入力シート!X138="","",基本情報入力シート!X138)</f>
        <v/>
      </c>
      <c r="K350" s="1265" t="str">
        <f>IF(基本情報入力シート!Y138="","",基本情報入力シート!Y138)</f>
        <v/>
      </c>
      <c r="L350" s="1450" t="str">
        <f>IF(基本情報入力シート!AB138="","",基本情報入力シート!AB138)</f>
        <v/>
      </c>
      <c r="M350" s="1447" t="str">
        <f>IF(基本情報入力シート!AC138="","",基本情報入力シート!AC138)</f>
        <v/>
      </c>
      <c r="N350" s="647" t="str">
        <f>IF('別紙様式2-2（４・５月分）'!Q266="","",'別紙様式2-2（４・５月分）'!Q266)</f>
        <v/>
      </c>
      <c r="O350" s="1366" t="str">
        <f>IF(SUM('別紙様式2-2（４・５月分）'!R266:R268)=0,"",SUM('別紙様式2-2（４・５月分）'!R266:R268))</f>
        <v/>
      </c>
      <c r="P350" s="1380" t="str">
        <f>IFERROR(VLOOKUP('別紙様式2-2（４・５月分）'!AR266,【参考】数式用!$AT$5:$AU$22,2,FALSE),"")</f>
        <v/>
      </c>
      <c r="Q350" s="1381"/>
      <c r="R350" s="1382"/>
      <c r="S350" s="1392" t="str">
        <f>IFERROR(VLOOKUP(K350,【参考】数式用!$A$5:$AB$27,MATCH(P350,【参考】数式用!$B$4:$AB$4,0)+1,0),"")</f>
        <v/>
      </c>
      <c r="T350" s="1413" t="s">
        <v>2258</v>
      </c>
      <c r="U350" s="1562" t="str">
        <f>IF('別紙様式2-3（６月以降分）'!U350="","",'別紙様式2-3（６月以降分）'!U350)</f>
        <v/>
      </c>
      <c r="V350" s="1457" t="str">
        <f>IFERROR(VLOOKUP(K350,【参考】数式用!$A$5:$AB$27,MATCH(U350,【参考】数式用!$B$4:$AB$4,0)+1,0),"")</f>
        <v/>
      </c>
      <c r="W350" s="1350" t="s">
        <v>19</v>
      </c>
      <c r="X350" s="1534">
        <f>'別紙様式2-3（６月以降分）'!X350</f>
        <v>6</v>
      </c>
      <c r="Y350" s="1354" t="s">
        <v>10</v>
      </c>
      <c r="Z350" s="1534">
        <f>'別紙様式2-3（６月以降分）'!Z350</f>
        <v>6</v>
      </c>
      <c r="AA350" s="1354" t="s">
        <v>45</v>
      </c>
      <c r="AB350" s="1534">
        <f>'別紙様式2-3（６月以降分）'!AB350</f>
        <v>7</v>
      </c>
      <c r="AC350" s="1354" t="s">
        <v>10</v>
      </c>
      <c r="AD350" s="1534">
        <f>'別紙様式2-3（６月以降分）'!AD350</f>
        <v>3</v>
      </c>
      <c r="AE350" s="1354" t="s">
        <v>2172</v>
      </c>
      <c r="AF350" s="1354" t="s">
        <v>24</v>
      </c>
      <c r="AG350" s="1354">
        <f>IF(X350&gt;=1,(AB350*12+AD350)-(X350*12+Z350)+1,"")</f>
        <v>10</v>
      </c>
      <c r="AH350" s="1360" t="s">
        <v>38</v>
      </c>
      <c r="AI350" s="1481" t="str">
        <f>'別紙様式2-3（６月以降分）'!AI350</f>
        <v/>
      </c>
      <c r="AJ350" s="1542" t="str">
        <f>'別紙様式2-3（６月以降分）'!AJ350</f>
        <v/>
      </c>
      <c r="AK350" s="1538">
        <f>'別紙様式2-3（６月以降分）'!AK350</f>
        <v>0</v>
      </c>
      <c r="AL350" s="1540" t="str">
        <f>IF('別紙様式2-3（６月以降分）'!AL350="","",'別紙様式2-3（６月以降分）'!AL350)</f>
        <v/>
      </c>
      <c r="AM350" s="1571">
        <f>'別紙様式2-3（６月以降分）'!AM350</f>
        <v>0</v>
      </c>
      <c r="AN350" s="1573" t="str">
        <f>IF('別紙様式2-3（６月以降分）'!AN350="","",'別紙様式2-3（６月以降分）'!AN350)</f>
        <v/>
      </c>
      <c r="AO350" s="1403" t="str">
        <f>IF('別紙様式2-3（６月以降分）'!AO350="","",'別紙様式2-3（６月以降分）'!AO350)</f>
        <v/>
      </c>
      <c r="AP350" s="1502" t="str">
        <f>IF('別紙様式2-3（６月以降分）'!AP350="","",'別紙様式2-3（６月以降分）'!AP350)</f>
        <v/>
      </c>
      <c r="AQ350" s="1403" t="str">
        <f>IF('別紙様式2-3（６月以降分）'!AQ350="","",'別紙様式2-3（６月以降分）'!AQ350)</f>
        <v/>
      </c>
      <c r="AR350" s="1583" t="str">
        <f>IF('別紙様式2-3（６月以降分）'!AR350="","",'別紙様式2-3（６月以降分）'!AR350)</f>
        <v/>
      </c>
      <c r="AS350" s="1536" t="str">
        <f>IF('別紙様式2-3（６月以降分）'!AS350="","",'別紙様式2-3（６月以降分）'!AS350)</f>
        <v/>
      </c>
      <c r="AT350" s="667" t="str">
        <f t="shared" ref="AT350" si="412">IF(AV352="","",IF(V352&lt;V350,"！加算の要件上は問題ありませんが、令和６年度当初の新加算の加算率と比較して、移行後の加算率が下がる計画になっています。",""))</f>
        <v/>
      </c>
      <c r="AU350" s="674"/>
      <c r="AV350" s="1233"/>
      <c r="AW350" s="652" t="str">
        <f>IF('別紙様式2-2（４・５月分）'!O266="","",'別紙様式2-2（４・５月分）'!O266)</f>
        <v/>
      </c>
      <c r="AX350" s="1507" t="str">
        <f>IF(SUM('別紙様式2-2（４・５月分）'!P266:P268)=0,"",SUM('別紙様式2-2（４・５月分）'!P266:P268))</f>
        <v/>
      </c>
      <c r="AY350" s="1590" t="str">
        <f>IFERROR(VLOOKUP(K350,【参考】数式用!$AJ$2:$AK$24,2,FALSE),"")</f>
        <v/>
      </c>
      <c r="AZ350" s="584"/>
      <c r="BE350" s="428"/>
      <c r="BF350" s="1493" t="str">
        <f>G350</f>
        <v/>
      </c>
      <c r="BG350" s="1493"/>
      <c r="BH350" s="1493"/>
    </row>
    <row r="351" spans="1:60" ht="15" customHeight="1">
      <c r="A351" s="1226"/>
      <c r="B351" s="1272"/>
      <c r="C351" s="1261"/>
      <c r="D351" s="1261"/>
      <c r="E351" s="1261"/>
      <c r="F351" s="1262"/>
      <c r="G351" s="1266"/>
      <c r="H351" s="1266"/>
      <c r="I351" s="1266"/>
      <c r="J351" s="1372"/>
      <c r="K351" s="1266"/>
      <c r="L351" s="1451"/>
      <c r="M351" s="1448"/>
      <c r="N351" s="1370" t="str">
        <f>IF('別紙様式2-2（４・５月分）'!Q267="","",'別紙様式2-2（４・５月分）'!Q267)</f>
        <v/>
      </c>
      <c r="O351" s="1367"/>
      <c r="P351" s="1383"/>
      <c r="Q351" s="1384"/>
      <c r="R351" s="1385"/>
      <c r="S351" s="1393"/>
      <c r="T351" s="1414"/>
      <c r="U351" s="1563"/>
      <c r="V351" s="1458"/>
      <c r="W351" s="1351"/>
      <c r="X351" s="1535"/>
      <c r="Y351" s="1355"/>
      <c r="Z351" s="1535"/>
      <c r="AA351" s="1355"/>
      <c r="AB351" s="1535"/>
      <c r="AC351" s="1355"/>
      <c r="AD351" s="1535"/>
      <c r="AE351" s="1355"/>
      <c r="AF351" s="1355"/>
      <c r="AG351" s="1355"/>
      <c r="AH351" s="1361"/>
      <c r="AI351" s="1482"/>
      <c r="AJ351" s="1543"/>
      <c r="AK351" s="1539"/>
      <c r="AL351" s="1541"/>
      <c r="AM351" s="1572"/>
      <c r="AN351" s="1574"/>
      <c r="AO351" s="1404"/>
      <c r="AP351" s="1533"/>
      <c r="AQ351" s="1404"/>
      <c r="AR351" s="1584"/>
      <c r="AS351" s="1537"/>
      <c r="AT351" s="1532" t="str">
        <f t="shared" ref="AT351" si="413">IF(AV352="","",IF(OR(AB352="",AB352&lt;&gt;7,AD352="",AD352&lt;&gt;3),"！算定期間の終わりが令和７年３月になっていません。年度内の廃止予定等がなければ、算定対象月を令和７年３月にしてください。",""))</f>
        <v/>
      </c>
      <c r="AU351" s="674"/>
      <c r="AV351" s="1493"/>
      <c r="AW351" s="1518" t="str">
        <f>IF('別紙様式2-2（４・５月分）'!O267="","",'別紙様式2-2（４・５月分）'!O267)</f>
        <v/>
      </c>
      <c r="AX351" s="1507"/>
      <c r="AY351" s="1589"/>
      <c r="AZ351" s="521"/>
      <c r="BE351" s="428"/>
      <c r="BF351" s="1493" t="str">
        <f>G350</f>
        <v/>
      </c>
      <c r="BG351" s="1493"/>
      <c r="BH351" s="1493"/>
    </row>
    <row r="352" spans="1:60" ht="15" customHeight="1">
      <c r="A352" s="1240"/>
      <c r="B352" s="1272"/>
      <c r="C352" s="1261"/>
      <c r="D352" s="1261"/>
      <c r="E352" s="1261"/>
      <c r="F352" s="1262"/>
      <c r="G352" s="1266"/>
      <c r="H352" s="1266"/>
      <c r="I352" s="1266"/>
      <c r="J352" s="1372"/>
      <c r="K352" s="1266"/>
      <c r="L352" s="1451"/>
      <c r="M352" s="1448"/>
      <c r="N352" s="1371"/>
      <c r="O352" s="1368"/>
      <c r="P352" s="1390" t="s">
        <v>2179</v>
      </c>
      <c r="Q352" s="1504" t="str">
        <f>IFERROR(VLOOKUP('別紙様式2-2（４・５月分）'!AR266,【参考】数式用!$AT$5:$AV$22,3,FALSE),"")</f>
        <v/>
      </c>
      <c r="R352" s="1388" t="s">
        <v>2190</v>
      </c>
      <c r="S352" s="1396" t="str">
        <f>IFERROR(VLOOKUP(K350,【参考】数式用!$A$5:$AB$27,MATCH(Q352,【参考】数式用!$B$4:$AB$4,0)+1,0),"")</f>
        <v/>
      </c>
      <c r="T352" s="1459" t="s">
        <v>2267</v>
      </c>
      <c r="U352" s="1569"/>
      <c r="V352" s="1463" t="str">
        <f>IFERROR(VLOOKUP(K350,【参考】数式用!$A$5:$AB$27,MATCH(U352,【参考】数式用!$B$4:$AB$4,0)+1,0),"")</f>
        <v/>
      </c>
      <c r="W352" s="1465" t="s">
        <v>19</v>
      </c>
      <c r="X352" s="1564"/>
      <c r="Y352" s="1407" t="s">
        <v>10</v>
      </c>
      <c r="Z352" s="1564"/>
      <c r="AA352" s="1407" t="s">
        <v>45</v>
      </c>
      <c r="AB352" s="1564"/>
      <c r="AC352" s="1407" t="s">
        <v>10</v>
      </c>
      <c r="AD352" s="1564"/>
      <c r="AE352" s="1407" t="s">
        <v>2172</v>
      </c>
      <c r="AF352" s="1407" t="s">
        <v>24</v>
      </c>
      <c r="AG352" s="1407" t="str">
        <f>IF(X352&gt;=1,(AB352*12+AD352)-(X352*12+Z352)+1,"")</f>
        <v/>
      </c>
      <c r="AH352" s="1409" t="s">
        <v>38</v>
      </c>
      <c r="AI352" s="1411" t="str">
        <f t="shared" ref="AI352" si="414">IFERROR(ROUNDDOWN(ROUND(L350*V352,0)*M350,0)*AG352,"")</f>
        <v/>
      </c>
      <c r="AJ352" s="1577" t="str">
        <f>IFERROR(ROUNDDOWN(ROUND((L350*(V352-AX350)),0)*M350,0)*AG352,"")</f>
        <v/>
      </c>
      <c r="AK352" s="1494" t="str">
        <f>IFERROR(ROUNDDOWN(ROUNDDOWN(ROUND(L350*VLOOKUP(K350,【参考】数式用!$A$5:$AB$27,MATCH("新加算Ⅳ",【参考】数式用!$B$4:$AB$4,0)+1,0),0)*M350,0)*AG352*0.5,0),"")</f>
        <v/>
      </c>
      <c r="AL352" s="1579"/>
      <c r="AM352" s="1585" t="str">
        <f>IFERROR(IF('別紙様式2-2（４・５月分）'!Q268="ベア加算","", IF(OR(U352="新加算Ⅰ",U352="新加算Ⅱ",U352="新加算Ⅲ",U352="新加算Ⅳ"),ROUNDDOWN(ROUND(L350*VLOOKUP(K350,【参考】数式用!$A$5:$I$27,MATCH("ベア加算",【参考】数式用!$B$4:$I$4,0)+1,0),0)*M350,0)*AG352,"")),"")</f>
        <v/>
      </c>
      <c r="AN352" s="1548"/>
      <c r="AO352" s="1554"/>
      <c r="AP352" s="1552"/>
      <c r="AQ352" s="1554"/>
      <c r="AR352" s="1556"/>
      <c r="AS352" s="1558"/>
      <c r="AT352" s="1532"/>
      <c r="AU352" s="542"/>
      <c r="AV352" s="1493" t="str">
        <f t="shared" ref="AV352" si="415">IF(OR(AB350&lt;&gt;7,AD350&lt;&gt;3),"V列に色付け","")</f>
        <v/>
      </c>
      <c r="AW352" s="1518"/>
      <c r="AX352" s="1507"/>
      <c r="AY352" s="671"/>
      <c r="AZ352" s="1321" t="str">
        <f>IF(AM352&lt;&gt;"",IF(AN352="○","入力済","未入力"),"")</f>
        <v/>
      </c>
      <c r="BA352" s="1321"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321" t="str">
        <f>IF(OR(U352="新加算Ⅴ（７）",U352="新加算Ⅴ（９）",U352="新加算Ⅴ（10）",U352="新加算Ⅴ（12）",U352="新加算Ⅴ（13）",U352="新加算Ⅴ（14）"),IF(OR(AP352="○",AP352="令和６年度中に満たす"),"入力済","未入力"),"")</f>
        <v/>
      </c>
      <c r="BC352" s="1321" t="str">
        <f>IF(OR(U352="新加算Ⅰ",U352="新加算Ⅱ",U352="新加算Ⅲ",U352="新加算Ⅴ（１）",U352="新加算Ⅴ（３）",U352="新加算Ⅴ（８）"),IF(OR(AQ352="○",AQ352="令和６年度中に満たす"),"入力済","未入力"),"")</f>
        <v/>
      </c>
      <c r="BD352" s="1588"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493" t="str">
        <f>IF(OR(U352="新加算Ⅰ",U352="新加算Ⅴ（１）",U352="新加算Ⅴ（２）",U352="新加算Ⅴ（５）",U352="新加算Ⅴ（７）",U352="新加算Ⅴ（10）"),IF(AS352="","未入力","入力済"),"")</f>
        <v/>
      </c>
      <c r="BF352" s="1493" t="str">
        <f>G350</f>
        <v/>
      </c>
      <c r="BG352" s="1493"/>
      <c r="BH352" s="1493"/>
    </row>
    <row r="353" spans="1:60" ht="30" customHeight="1" thickBot="1">
      <c r="A353" s="1227"/>
      <c r="B353" s="1376"/>
      <c r="C353" s="1377"/>
      <c r="D353" s="1377"/>
      <c r="E353" s="1377"/>
      <c r="F353" s="1378"/>
      <c r="G353" s="1267"/>
      <c r="H353" s="1267"/>
      <c r="I353" s="1267"/>
      <c r="J353" s="1373"/>
      <c r="K353" s="1267"/>
      <c r="L353" s="1452"/>
      <c r="M353" s="1449"/>
      <c r="N353" s="650" t="str">
        <f>IF('別紙様式2-2（４・５月分）'!Q268="","",'別紙様式2-2（４・５月分）'!Q268)</f>
        <v/>
      </c>
      <c r="O353" s="1369"/>
      <c r="P353" s="1391"/>
      <c r="Q353" s="1505"/>
      <c r="R353" s="1389"/>
      <c r="S353" s="1395"/>
      <c r="T353" s="1460"/>
      <c r="U353" s="1570"/>
      <c r="V353" s="1464"/>
      <c r="W353" s="1466"/>
      <c r="X353" s="1565"/>
      <c r="Y353" s="1408"/>
      <c r="Z353" s="1565"/>
      <c r="AA353" s="1408"/>
      <c r="AB353" s="1565"/>
      <c r="AC353" s="1408"/>
      <c r="AD353" s="1565"/>
      <c r="AE353" s="1408"/>
      <c r="AF353" s="1408"/>
      <c r="AG353" s="1408"/>
      <c r="AH353" s="1410"/>
      <c r="AI353" s="1412"/>
      <c r="AJ353" s="1578"/>
      <c r="AK353" s="1495"/>
      <c r="AL353" s="1580"/>
      <c r="AM353" s="1586"/>
      <c r="AN353" s="1549"/>
      <c r="AO353" s="1555"/>
      <c r="AP353" s="1553"/>
      <c r="AQ353" s="1555"/>
      <c r="AR353" s="1557"/>
      <c r="AS353" s="1559"/>
      <c r="AT353" s="672" t="str">
        <f t="shared" ref="AT353" si="416">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42"/>
      <c r="AV353" s="1493"/>
      <c r="AW353" s="652" t="str">
        <f>IF('別紙様式2-2（４・５月分）'!O268="","",'別紙様式2-2（４・５月分）'!O268)</f>
        <v/>
      </c>
      <c r="AX353" s="1507"/>
      <c r="AY353" s="673"/>
      <c r="AZ353" s="1321" t="str">
        <f>IF(OR(U353="新加算Ⅰ",U353="新加算Ⅱ",U353="新加算Ⅲ",U353="新加算Ⅳ",U353="新加算Ⅴ（１）",U353="新加算Ⅴ（２）",U353="新加算Ⅴ（３）",U353="新加算ⅠⅤ（４）",U353="新加算Ⅴ（５）",U353="新加算Ⅴ（６）",U353="新加算Ⅴ（８）",U353="新加算Ⅴ（11）"),IF(AJ353="○","","未入力"),"")</f>
        <v/>
      </c>
      <c r="BA353" s="1321" t="str">
        <f>IF(OR(V353="新加算Ⅰ",V353="新加算Ⅱ",V353="新加算Ⅲ",V353="新加算Ⅳ",V353="新加算Ⅴ（１）",V353="新加算Ⅴ（２）",V353="新加算Ⅴ（３）",V353="新加算ⅠⅤ（４）",V353="新加算Ⅴ（５）",V353="新加算Ⅴ（６）",V353="新加算Ⅴ（８）",V353="新加算Ⅴ（11）"),IF(AK353="○","","未入力"),"")</f>
        <v/>
      </c>
      <c r="BB353" s="1321" t="str">
        <f>IF(OR(V353="新加算Ⅴ（７）",V353="新加算Ⅴ（９）",V353="新加算Ⅴ（10）",V353="新加算Ⅴ（12）",V353="新加算Ⅴ（13）",V353="新加算Ⅴ（14）"),IF(AL353="○","","未入力"),"")</f>
        <v/>
      </c>
      <c r="BC353" s="1321" t="str">
        <f>IF(OR(V353="新加算Ⅰ",V353="新加算Ⅱ",V353="新加算Ⅲ",V353="新加算Ⅴ（１）",V353="新加算Ⅴ（３）",V353="新加算Ⅴ（８）"),IF(AM353="○","","未入力"),"")</f>
        <v/>
      </c>
      <c r="BD353" s="1588"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493" t="str">
        <f>IF(AND(U353&lt;&gt;"（参考）令和７年度の移行予定",OR(V353="新加算Ⅰ",V353="新加算Ⅴ（１）",V353="新加算Ⅴ（２）",V353="新加算Ⅴ（５）",V353="新加算Ⅴ（７）",V353="新加算Ⅴ（10）")),IF(AO353="","未入力",IF(AO353="いずれも取得していない","要件を満たさない","")),"")</f>
        <v/>
      </c>
      <c r="BF353" s="1493" t="str">
        <f>G350</f>
        <v/>
      </c>
      <c r="BG353" s="1493"/>
      <c r="BH353" s="1493"/>
    </row>
    <row r="354" spans="1:60" ht="30" customHeight="1">
      <c r="A354" s="1241">
        <v>86</v>
      </c>
      <c r="B354" s="1272" t="str">
        <f>IF(基本情報入力シート!C139="","",基本情報入力シート!C139)</f>
        <v/>
      </c>
      <c r="C354" s="1261"/>
      <c r="D354" s="1261"/>
      <c r="E354" s="1261"/>
      <c r="F354" s="1262"/>
      <c r="G354" s="1266" t="str">
        <f>IF(基本情報入力シート!M139="","",基本情報入力シート!M139)</f>
        <v/>
      </c>
      <c r="H354" s="1266" t="str">
        <f>IF(基本情報入力シート!R139="","",基本情報入力シート!R139)</f>
        <v/>
      </c>
      <c r="I354" s="1266" t="str">
        <f>IF(基本情報入力シート!W139="","",基本情報入力シート!W139)</f>
        <v/>
      </c>
      <c r="J354" s="1372" t="str">
        <f>IF(基本情報入力シート!X139="","",基本情報入力シート!X139)</f>
        <v/>
      </c>
      <c r="K354" s="1266" t="str">
        <f>IF(基本情報入力シート!Y139="","",基本情報入力シート!Y139)</f>
        <v/>
      </c>
      <c r="L354" s="1451" t="str">
        <f>IF(基本情報入力シート!AB139="","",基本情報入力シート!AB139)</f>
        <v/>
      </c>
      <c r="M354" s="1453" t="str">
        <f>IF(基本情報入力シート!AC139="","",基本情報入力シート!AC139)</f>
        <v/>
      </c>
      <c r="N354" s="647" t="str">
        <f>IF('別紙様式2-2（４・５月分）'!Q269="","",'別紙様式2-2（４・５月分）'!Q269)</f>
        <v/>
      </c>
      <c r="O354" s="1366" t="str">
        <f>IF(SUM('別紙様式2-2（４・５月分）'!R269:R271)=0,"",SUM('別紙様式2-2（４・５月分）'!R269:R271))</f>
        <v/>
      </c>
      <c r="P354" s="1380" t="str">
        <f>IFERROR(VLOOKUP('別紙様式2-2（４・５月分）'!AR269,【参考】数式用!$AT$5:$AU$22,2,FALSE),"")</f>
        <v/>
      </c>
      <c r="Q354" s="1381"/>
      <c r="R354" s="1382"/>
      <c r="S354" s="1392" t="str">
        <f>IFERROR(VLOOKUP(K354,【参考】数式用!$A$5:$AB$27,MATCH(P354,【参考】数式用!$B$4:$AB$4,0)+1,0),"")</f>
        <v/>
      </c>
      <c r="T354" s="1413" t="s">
        <v>2258</v>
      </c>
      <c r="U354" s="1562" t="str">
        <f>IF('別紙様式2-3（６月以降分）'!U354="","",'別紙様式2-3（６月以降分）'!U354)</f>
        <v/>
      </c>
      <c r="V354" s="1457" t="str">
        <f>IFERROR(VLOOKUP(K354,【参考】数式用!$A$5:$AB$27,MATCH(U354,【参考】数式用!$B$4:$AB$4,0)+1,0),"")</f>
        <v/>
      </c>
      <c r="W354" s="1350" t="s">
        <v>19</v>
      </c>
      <c r="X354" s="1534">
        <f>'別紙様式2-3（６月以降分）'!X354</f>
        <v>6</v>
      </c>
      <c r="Y354" s="1354" t="s">
        <v>10</v>
      </c>
      <c r="Z354" s="1534">
        <f>'別紙様式2-3（６月以降分）'!Z354</f>
        <v>6</v>
      </c>
      <c r="AA354" s="1354" t="s">
        <v>45</v>
      </c>
      <c r="AB354" s="1534">
        <f>'別紙様式2-3（６月以降分）'!AB354</f>
        <v>7</v>
      </c>
      <c r="AC354" s="1354" t="s">
        <v>10</v>
      </c>
      <c r="AD354" s="1534">
        <f>'別紙様式2-3（６月以降分）'!AD354</f>
        <v>3</v>
      </c>
      <c r="AE354" s="1354" t="s">
        <v>2172</v>
      </c>
      <c r="AF354" s="1354" t="s">
        <v>24</v>
      </c>
      <c r="AG354" s="1354">
        <f>IF(X354&gt;=1,(AB354*12+AD354)-(X354*12+Z354)+1,"")</f>
        <v>10</v>
      </c>
      <c r="AH354" s="1360" t="s">
        <v>38</v>
      </c>
      <c r="AI354" s="1481" t="str">
        <f>'別紙様式2-3（６月以降分）'!AI354</f>
        <v/>
      </c>
      <c r="AJ354" s="1542" t="str">
        <f>'別紙様式2-3（６月以降分）'!AJ354</f>
        <v/>
      </c>
      <c r="AK354" s="1538">
        <f>'別紙様式2-3（６月以降分）'!AK354</f>
        <v>0</v>
      </c>
      <c r="AL354" s="1540" t="str">
        <f>IF('別紙様式2-3（６月以降分）'!AL354="","",'別紙様式2-3（６月以降分）'!AL354)</f>
        <v/>
      </c>
      <c r="AM354" s="1571">
        <f>'別紙様式2-3（６月以降分）'!AM354</f>
        <v>0</v>
      </c>
      <c r="AN354" s="1573" t="str">
        <f>IF('別紙様式2-3（６月以降分）'!AN354="","",'別紙様式2-3（６月以降分）'!AN354)</f>
        <v/>
      </c>
      <c r="AO354" s="1403" t="str">
        <f>IF('別紙様式2-3（６月以降分）'!AO354="","",'別紙様式2-3（６月以降分）'!AO354)</f>
        <v/>
      </c>
      <c r="AP354" s="1502" t="str">
        <f>IF('別紙様式2-3（６月以降分）'!AP354="","",'別紙様式2-3（６月以降分）'!AP354)</f>
        <v/>
      </c>
      <c r="AQ354" s="1403" t="str">
        <f>IF('別紙様式2-3（６月以降分）'!AQ354="","",'別紙様式2-3（６月以降分）'!AQ354)</f>
        <v/>
      </c>
      <c r="AR354" s="1583" t="str">
        <f>IF('別紙様式2-3（６月以降分）'!AR354="","",'別紙様式2-3（６月以降分）'!AR354)</f>
        <v/>
      </c>
      <c r="AS354" s="1536" t="str">
        <f>IF('別紙様式2-3（６月以降分）'!AS354="","",'別紙様式2-3（６月以降分）'!AS354)</f>
        <v/>
      </c>
      <c r="AT354" s="667" t="str">
        <f t="shared" ref="AT354" si="417">IF(AV356="","",IF(V356&lt;V354,"！加算の要件上は問題ありませんが、令和６年度当初の新加算の加算率と比較して、移行後の加算率が下がる計画になっています。",""))</f>
        <v/>
      </c>
      <c r="AU354" s="674"/>
      <c r="AV354" s="1233"/>
      <c r="AW354" s="652" t="str">
        <f>IF('別紙様式2-2（４・５月分）'!O269="","",'別紙様式2-2（４・５月分）'!O269)</f>
        <v/>
      </c>
      <c r="AX354" s="1507" t="str">
        <f>IF(SUM('別紙様式2-2（４・５月分）'!P269:P271)=0,"",SUM('別紙様式2-2（４・５月分）'!P269:P271))</f>
        <v/>
      </c>
      <c r="AY354" s="1589" t="str">
        <f>IFERROR(VLOOKUP(K354,【参考】数式用!$AJ$2:$AK$24,2,FALSE),"")</f>
        <v/>
      </c>
      <c r="AZ354" s="584"/>
      <c r="BE354" s="428"/>
      <c r="BF354" s="1493" t="str">
        <f>G354</f>
        <v/>
      </c>
      <c r="BG354" s="1493"/>
      <c r="BH354" s="1493"/>
    </row>
    <row r="355" spans="1:60" ht="15" customHeight="1">
      <c r="A355" s="1226"/>
      <c r="B355" s="1272"/>
      <c r="C355" s="1261"/>
      <c r="D355" s="1261"/>
      <c r="E355" s="1261"/>
      <c r="F355" s="1262"/>
      <c r="G355" s="1266"/>
      <c r="H355" s="1266"/>
      <c r="I355" s="1266"/>
      <c r="J355" s="1372"/>
      <c r="K355" s="1266"/>
      <c r="L355" s="1451"/>
      <c r="M355" s="1453"/>
      <c r="N355" s="1370" t="str">
        <f>IF('別紙様式2-2（４・５月分）'!Q270="","",'別紙様式2-2（４・５月分）'!Q270)</f>
        <v/>
      </c>
      <c r="O355" s="1367"/>
      <c r="P355" s="1383"/>
      <c r="Q355" s="1384"/>
      <c r="R355" s="1385"/>
      <c r="S355" s="1393"/>
      <c r="T355" s="1414"/>
      <c r="U355" s="1563"/>
      <c r="V355" s="1458"/>
      <c r="W355" s="1351"/>
      <c r="X355" s="1535"/>
      <c r="Y355" s="1355"/>
      <c r="Z355" s="1535"/>
      <c r="AA355" s="1355"/>
      <c r="AB355" s="1535"/>
      <c r="AC355" s="1355"/>
      <c r="AD355" s="1535"/>
      <c r="AE355" s="1355"/>
      <c r="AF355" s="1355"/>
      <c r="AG355" s="1355"/>
      <c r="AH355" s="1361"/>
      <c r="AI355" s="1482"/>
      <c r="AJ355" s="1543"/>
      <c r="AK355" s="1539"/>
      <c r="AL355" s="1541"/>
      <c r="AM355" s="1572"/>
      <c r="AN355" s="1574"/>
      <c r="AO355" s="1404"/>
      <c r="AP355" s="1533"/>
      <c r="AQ355" s="1404"/>
      <c r="AR355" s="1584"/>
      <c r="AS355" s="1537"/>
      <c r="AT355" s="1532" t="str">
        <f t="shared" ref="AT355" si="418">IF(AV356="","",IF(OR(AB356="",AB356&lt;&gt;7,AD356="",AD356&lt;&gt;3),"！算定期間の終わりが令和７年３月になっていません。年度内の廃止予定等がなければ、算定対象月を令和７年３月にしてください。",""))</f>
        <v/>
      </c>
      <c r="AU355" s="674"/>
      <c r="AV355" s="1493"/>
      <c r="AW355" s="1518" t="str">
        <f>IF('別紙様式2-2（４・５月分）'!O270="","",'別紙様式2-2（４・５月分）'!O270)</f>
        <v/>
      </c>
      <c r="AX355" s="1507"/>
      <c r="AY355" s="1589"/>
      <c r="AZ355" s="521"/>
      <c r="BE355" s="428"/>
      <c r="BF355" s="1493" t="str">
        <f>G354</f>
        <v/>
      </c>
      <c r="BG355" s="1493"/>
      <c r="BH355" s="1493"/>
    </row>
    <row r="356" spans="1:60" ht="15" customHeight="1">
      <c r="A356" s="1240"/>
      <c r="B356" s="1272"/>
      <c r="C356" s="1261"/>
      <c r="D356" s="1261"/>
      <c r="E356" s="1261"/>
      <c r="F356" s="1262"/>
      <c r="G356" s="1266"/>
      <c r="H356" s="1266"/>
      <c r="I356" s="1266"/>
      <c r="J356" s="1372"/>
      <c r="K356" s="1266"/>
      <c r="L356" s="1451"/>
      <c r="M356" s="1453"/>
      <c r="N356" s="1371"/>
      <c r="O356" s="1368"/>
      <c r="P356" s="1390" t="s">
        <v>2179</v>
      </c>
      <c r="Q356" s="1504" t="str">
        <f>IFERROR(VLOOKUP('別紙様式2-2（４・５月分）'!AR269,【参考】数式用!$AT$5:$AV$22,3,FALSE),"")</f>
        <v/>
      </c>
      <c r="R356" s="1388" t="s">
        <v>2190</v>
      </c>
      <c r="S356" s="1394" t="str">
        <f>IFERROR(VLOOKUP(K354,【参考】数式用!$A$5:$AB$27,MATCH(Q356,【参考】数式用!$B$4:$AB$4,0)+1,0),"")</f>
        <v/>
      </c>
      <c r="T356" s="1459" t="s">
        <v>2267</v>
      </c>
      <c r="U356" s="1569"/>
      <c r="V356" s="1463" t="str">
        <f>IFERROR(VLOOKUP(K354,【参考】数式用!$A$5:$AB$27,MATCH(U356,【参考】数式用!$B$4:$AB$4,0)+1,0),"")</f>
        <v/>
      </c>
      <c r="W356" s="1465" t="s">
        <v>19</v>
      </c>
      <c r="X356" s="1564"/>
      <c r="Y356" s="1407" t="s">
        <v>10</v>
      </c>
      <c r="Z356" s="1564"/>
      <c r="AA356" s="1407" t="s">
        <v>45</v>
      </c>
      <c r="AB356" s="1564"/>
      <c r="AC356" s="1407" t="s">
        <v>10</v>
      </c>
      <c r="AD356" s="1564"/>
      <c r="AE356" s="1407" t="s">
        <v>2172</v>
      </c>
      <c r="AF356" s="1407" t="s">
        <v>24</v>
      </c>
      <c r="AG356" s="1407" t="str">
        <f>IF(X356&gt;=1,(AB356*12+AD356)-(X356*12+Z356)+1,"")</f>
        <v/>
      </c>
      <c r="AH356" s="1409" t="s">
        <v>38</v>
      </c>
      <c r="AI356" s="1411" t="str">
        <f t="shared" ref="AI356" si="419">IFERROR(ROUNDDOWN(ROUND(L354*V356,0)*M354,0)*AG356,"")</f>
        <v/>
      </c>
      <c r="AJ356" s="1577" t="str">
        <f>IFERROR(ROUNDDOWN(ROUND((L354*(V356-AX354)),0)*M354,0)*AG356,"")</f>
        <v/>
      </c>
      <c r="AK356" s="1494" t="str">
        <f>IFERROR(ROUNDDOWN(ROUNDDOWN(ROUND(L354*VLOOKUP(K354,【参考】数式用!$A$5:$AB$27,MATCH("新加算Ⅳ",【参考】数式用!$B$4:$AB$4,0)+1,0),0)*M354,0)*AG356*0.5,0),"")</f>
        <v/>
      </c>
      <c r="AL356" s="1579"/>
      <c r="AM356" s="1585" t="str">
        <f>IFERROR(IF('別紙様式2-2（４・５月分）'!Q271="ベア加算","", IF(OR(U356="新加算Ⅰ",U356="新加算Ⅱ",U356="新加算Ⅲ",U356="新加算Ⅳ"),ROUNDDOWN(ROUND(L354*VLOOKUP(K354,【参考】数式用!$A$5:$I$27,MATCH("ベア加算",【参考】数式用!$B$4:$I$4,0)+1,0),0)*M354,0)*AG356,"")),"")</f>
        <v/>
      </c>
      <c r="AN356" s="1548"/>
      <c r="AO356" s="1554"/>
      <c r="AP356" s="1552"/>
      <c r="AQ356" s="1554"/>
      <c r="AR356" s="1556"/>
      <c r="AS356" s="1558"/>
      <c r="AT356" s="1532"/>
      <c r="AU356" s="542"/>
      <c r="AV356" s="1493" t="str">
        <f t="shared" ref="AV356" si="420">IF(OR(AB354&lt;&gt;7,AD354&lt;&gt;3),"V列に色付け","")</f>
        <v/>
      </c>
      <c r="AW356" s="1518"/>
      <c r="AX356" s="1507"/>
      <c r="AY356" s="671"/>
      <c r="AZ356" s="1321" t="str">
        <f>IF(AM356&lt;&gt;"",IF(AN356="○","入力済","未入力"),"")</f>
        <v/>
      </c>
      <c r="BA356" s="1321"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321" t="str">
        <f>IF(OR(U356="新加算Ⅴ（７）",U356="新加算Ⅴ（９）",U356="新加算Ⅴ（10）",U356="新加算Ⅴ（12）",U356="新加算Ⅴ（13）",U356="新加算Ⅴ（14）"),IF(OR(AP356="○",AP356="令和６年度中に満たす"),"入力済","未入力"),"")</f>
        <v/>
      </c>
      <c r="BC356" s="1321" t="str">
        <f>IF(OR(U356="新加算Ⅰ",U356="新加算Ⅱ",U356="新加算Ⅲ",U356="新加算Ⅴ（１）",U356="新加算Ⅴ（３）",U356="新加算Ⅴ（８）"),IF(OR(AQ356="○",AQ356="令和６年度中に満たす"),"入力済","未入力"),"")</f>
        <v/>
      </c>
      <c r="BD356" s="1588"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493" t="str">
        <f>IF(OR(U356="新加算Ⅰ",U356="新加算Ⅴ（１）",U356="新加算Ⅴ（２）",U356="新加算Ⅴ（５）",U356="新加算Ⅴ（７）",U356="新加算Ⅴ（10）"),IF(AS356="","未入力","入力済"),"")</f>
        <v/>
      </c>
      <c r="BF356" s="1493" t="str">
        <f>G354</f>
        <v/>
      </c>
      <c r="BG356" s="1493"/>
      <c r="BH356" s="1493"/>
    </row>
    <row r="357" spans="1:60" ht="30" customHeight="1" thickBot="1">
      <c r="A357" s="1227"/>
      <c r="B357" s="1376"/>
      <c r="C357" s="1377"/>
      <c r="D357" s="1377"/>
      <c r="E357" s="1377"/>
      <c r="F357" s="1378"/>
      <c r="G357" s="1267"/>
      <c r="H357" s="1267"/>
      <c r="I357" s="1267"/>
      <c r="J357" s="1373"/>
      <c r="K357" s="1267"/>
      <c r="L357" s="1452"/>
      <c r="M357" s="1454"/>
      <c r="N357" s="650" t="str">
        <f>IF('別紙様式2-2（４・５月分）'!Q271="","",'別紙様式2-2（４・５月分）'!Q271)</f>
        <v/>
      </c>
      <c r="O357" s="1369"/>
      <c r="P357" s="1391"/>
      <c r="Q357" s="1505"/>
      <c r="R357" s="1389"/>
      <c r="S357" s="1395"/>
      <c r="T357" s="1460"/>
      <c r="U357" s="1570"/>
      <c r="V357" s="1464"/>
      <c r="W357" s="1466"/>
      <c r="X357" s="1565"/>
      <c r="Y357" s="1408"/>
      <c r="Z357" s="1565"/>
      <c r="AA357" s="1408"/>
      <c r="AB357" s="1565"/>
      <c r="AC357" s="1408"/>
      <c r="AD357" s="1565"/>
      <c r="AE357" s="1408"/>
      <c r="AF357" s="1408"/>
      <c r="AG357" s="1408"/>
      <c r="AH357" s="1410"/>
      <c r="AI357" s="1412"/>
      <c r="AJ357" s="1578"/>
      <c r="AK357" s="1495"/>
      <c r="AL357" s="1580"/>
      <c r="AM357" s="1586"/>
      <c r="AN357" s="1549"/>
      <c r="AO357" s="1555"/>
      <c r="AP357" s="1553"/>
      <c r="AQ357" s="1555"/>
      <c r="AR357" s="1557"/>
      <c r="AS357" s="1559"/>
      <c r="AT357" s="672" t="str">
        <f t="shared" ref="AT357" si="421">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42"/>
      <c r="AV357" s="1493"/>
      <c r="AW357" s="652" t="str">
        <f>IF('別紙様式2-2（４・５月分）'!O271="","",'別紙様式2-2（４・５月分）'!O271)</f>
        <v/>
      </c>
      <c r="AX357" s="1507"/>
      <c r="AY357" s="673"/>
      <c r="AZ357" s="1321" t="str">
        <f>IF(OR(U357="新加算Ⅰ",U357="新加算Ⅱ",U357="新加算Ⅲ",U357="新加算Ⅳ",U357="新加算Ⅴ（１）",U357="新加算Ⅴ（２）",U357="新加算Ⅴ（３）",U357="新加算ⅠⅤ（４）",U357="新加算Ⅴ（５）",U357="新加算Ⅴ（６）",U357="新加算Ⅴ（８）",U357="新加算Ⅴ（11）"),IF(AJ357="○","","未入力"),"")</f>
        <v/>
      </c>
      <c r="BA357" s="1321" t="str">
        <f>IF(OR(V357="新加算Ⅰ",V357="新加算Ⅱ",V357="新加算Ⅲ",V357="新加算Ⅳ",V357="新加算Ⅴ（１）",V357="新加算Ⅴ（２）",V357="新加算Ⅴ（３）",V357="新加算ⅠⅤ（４）",V357="新加算Ⅴ（５）",V357="新加算Ⅴ（６）",V357="新加算Ⅴ（８）",V357="新加算Ⅴ（11）"),IF(AK357="○","","未入力"),"")</f>
        <v/>
      </c>
      <c r="BB357" s="1321" t="str">
        <f>IF(OR(V357="新加算Ⅴ（７）",V357="新加算Ⅴ（９）",V357="新加算Ⅴ（10）",V357="新加算Ⅴ（12）",V357="新加算Ⅴ（13）",V357="新加算Ⅴ（14）"),IF(AL357="○","","未入力"),"")</f>
        <v/>
      </c>
      <c r="BC357" s="1321" t="str">
        <f>IF(OR(V357="新加算Ⅰ",V357="新加算Ⅱ",V357="新加算Ⅲ",V357="新加算Ⅴ（１）",V357="新加算Ⅴ（３）",V357="新加算Ⅴ（８）"),IF(AM357="○","","未入力"),"")</f>
        <v/>
      </c>
      <c r="BD357" s="1588"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493" t="str">
        <f>IF(AND(U357&lt;&gt;"（参考）令和７年度の移行予定",OR(V357="新加算Ⅰ",V357="新加算Ⅴ（１）",V357="新加算Ⅴ（２）",V357="新加算Ⅴ（５）",V357="新加算Ⅴ（７）",V357="新加算Ⅴ（10）")),IF(AO357="","未入力",IF(AO357="いずれも取得していない","要件を満たさない","")),"")</f>
        <v/>
      </c>
      <c r="BF357" s="1493" t="str">
        <f>G354</f>
        <v/>
      </c>
      <c r="BG357" s="1493"/>
      <c r="BH357" s="1493"/>
    </row>
    <row r="358" spans="1:60" ht="30" customHeight="1">
      <c r="A358" s="1225">
        <v>87</v>
      </c>
      <c r="B358" s="1271" t="str">
        <f>IF(基本情報入力シート!C140="","",基本情報入力シート!C140)</f>
        <v/>
      </c>
      <c r="C358" s="1259"/>
      <c r="D358" s="1259"/>
      <c r="E358" s="1259"/>
      <c r="F358" s="1260"/>
      <c r="G358" s="1265" t="str">
        <f>IF(基本情報入力シート!M140="","",基本情報入力シート!M140)</f>
        <v/>
      </c>
      <c r="H358" s="1265" t="str">
        <f>IF(基本情報入力シート!R140="","",基本情報入力シート!R140)</f>
        <v/>
      </c>
      <c r="I358" s="1265" t="str">
        <f>IF(基本情報入力シート!W140="","",基本情報入力シート!W140)</f>
        <v/>
      </c>
      <c r="J358" s="1379" t="str">
        <f>IF(基本情報入力シート!X140="","",基本情報入力シート!X140)</f>
        <v/>
      </c>
      <c r="K358" s="1265" t="str">
        <f>IF(基本情報入力シート!Y140="","",基本情報入力シート!Y140)</f>
        <v/>
      </c>
      <c r="L358" s="1450" t="str">
        <f>IF(基本情報入力シート!AB140="","",基本情報入力シート!AB140)</f>
        <v/>
      </c>
      <c r="M358" s="1447" t="str">
        <f>IF(基本情報入力シート!AC140="","",基本情報入力シート!AC140)</f>
        <v/>
      </c>
      <c r="N358" s="647" t="str">
        <f>IF('別紙様式2-2（４・５月分）'!Q272="","",'別紙様式2-2（４・５月分）'!Q272)</f>
        <v/>
      </c>
      <c r="O358" s="1366" t="str">
        <f>IF(SUM('別紙様式2-2（４・５月分）'!R272:R274)=0,"",SUM('別紙様式2-2（４・５月分）'!R272:R274))</f>
        <v/>
      </c>
      <c r="P358" s="1380" t="str">
        <f>IFERROR(VLOOKUP('別紙様式2-2（４・５月分）'!AR272,【参考】数式用!$AT$5:$AU$22,2,FALSE),"")</f>
        <v/>
      </c>
      <c r="Q358" s="1381"/>
      <c r="R358" s="1382"/>
      <c r="S358" s="1392" t="str">
        <f>IFERROR(VLOOKUP(K358,【参考】数式用!$A$5:$AB$27,MATCH(P358,【参考】数式用!$B$4:$AB$4,0)+1,0),"")</f>
        <v/>
      </c>
      <c r="T358" s="1413" t="s">
        <v>2258</v>
      </c>
      <c r="U358" s="1562" t="str">
        <f>IF('別紙様式2-3（６月以降分）'!U358="","",'別紙様式2-3（６月以降分）'!U358)</f>
        <v/>
      </c>
      <c r="V358" s="1457" t="str">
        <f>IFERROR(VLOOKUP(K358,【参考】数式用!$A$5:$AB$27,MATCH(U358,【参考】数式用!$B$4:$AB$4,0)+1,0),"")</f>
        <v/>
      </c>
      <c r="W358" s="1350" t="s">
        <v>19</v>
      </c>
      <c r="X358" s="1534">
        <f>'別紙様式2-3（６月以降分）'!X358</f>
        <v>6</v>
      </c>
      <c r="Y358" s="1354" t="s">
        <v>10</v>
      </c>
      <c r="Z358" s="1534">
        <f>'別紙様式2-3（６月以降分）'!Z358</f>
        <v>6</v>
      </c>
      <c r="AA358" s="1354" t="s">
        <v>45</v>
      </c>
      <c r="AB358" s="1534">
        <f>'別紙様式2-3（６月以降分）'!AB358</f>
        <v>7</v>
      </c>
      <c r="AC358" s="1354" t="s">
        <v>10</v>
      </c>
      <c r="AD358" s="1534">
        <f>'別紙様式2-3（６月以降分）'!AD358</f>
        <v>3</v>
      </c>
      <c r="AE358" s="1354" t="s">
        <v>2172</v>
      </c>
      <c r="AF358" s="1354" t="s">
        <v>24</v>
      </c>
      <c r="AG358" s="1354">
        <f>IF(X358&gt;=1,(AB358*12+AD358)-(X358*12+Z358)+1,"")</f>
        <v>10</v>
      </c>
      <c r="AH358" s="1360" t="s">
        <v>38</v>
      </c>
      <c r="AI358" s="1481" t="str">
        <f>'別紙様式2-3（６月以降分）'!AI358</f>
        <v/>
      </c>
      <c r="AJ358" s="1542" t="str">
        <f>'別紙様式2-3（６月以降分）'!AJ358</f>
        <v/>
      </c>
      <c r="AK358" s="1538">
        <f>'別紙様式2-3（６月以降分）'!AK358</f>
        <v>0</v>
      </c>
      <c r="AL358" s="1540" t="str">
        <f>IF('別紙様式2-3（６月以降分）'!AL358="","",'別紙様式2-3（６月以降分）'!AL358)</f>
        <v/>
      </c>
      <c r="AM358" s="1571">
        <f>'別紙様式2-3（６月以降分）'!AM358</f>
        <v>0</v>
      </c>
      <c r="AN358" s="1573" t="str">
        <f>IF('別紙様式2-3（６月以降分）'!AN358="","",'別紙様式2-3（６月以降分）'!AN358)</f>
        <v/>
      </c>
      <c r="AO358" s="1403" t="str">
        <f>IF('別紙様式2-3（６月以降分）'!AO358="","",'別紙様式2-3（６月以降分）'!AO358)</f>
        <v/>
      </c>
      <c r="AP358" s="1502" t="str">
        <f>IF('別紙様式2-3（６月以降分）'!AP358="","",'別紙様式2-3（６月以降分）'!AP358)</f>
        <v/>
      </c>
      <c r="AQ358" s="1403" t="str">
        <f>IF('別紙様式2-3（６月以降分）'!AQ358="","",'別紙様式2-3（６月以降分）'!AQ358)</f>
        <v/>
      </c>
      <c r="AR358" s="1583" t="str">
        <f>IF('別紙様式2-3（６月以降分）'!AR358="","",'別紙様式2-3（６月以降分）'!AR358)</f>
        <v/>
      </c>
      <c r="AS358" s="1536" t="str">
        <f>IF('別紙様式2-3（６月以降分）'!AS358="","",'別紙様式2-3（６月以降分）'!AS358)</f>
        <v/>
      </c>
      <c r="AT358" s="667" t="str">
        <f t="shared" ref="AT358" si="422">IF(AV360="","",IF(V360&lt;V358,"！加算の要件上は問題ありませんが、令和６年度当初の新加算の加算率と比較して、移行後の加算率が下がる計画になっています。",""))</f>
        <v/>
      </c>
      <c r="AU358" s="674"/>
      <c r="AV358" s="1233"/>
      <c r="AW358" s="652" t="str">
        <f>IF('別紙様式2-2（４・５月分）'!O272="","",'別紙様式2-2（４・５月分）'!O272)</f>
        <v/>
      </c>
      <c r="AX358" s="1507" t="str">
        <f>IF(SUM('別紙様式2-2（４・５月分）'!P272:P274)=0,"",SUM('別紙様式2-2（４・５月分）'!P272:P274))</f>
        <v/>
      </c>
      <c r="AY358" s="1590" t="str">
        <f>IFERROR(VLOOKUP(K358,【参考】数式用!$AJ$2:$AK$24,2,FALSE),"")</f>
        <v/>
      </c>
      <c r="AZ358" s="584"/>
      <c r="BE358" s="428"/>
      <c r="BF358" s="1493" t="str">
        <f>G358</f>
        <v/>
      </c>
      <c r="BG358" s="1493"/>
      <c r="BH358" s="1493"/>
    </row>
    <row r="359" spans="1:60" ht="15" customHeight="1">
      <c r="A359" s="1226"/>
      <c r="B359" s="1272"/>
      <c r="C359" s="1261"/>
      <c r="D359" s="1261"/>
      <c r="E359" s="1261"/>
      <c r="F359" s="1262"/>
      <c r="G359" s="1266"/>
      <c r="H359" s="1266"/>
      <c r="I359" s="1266"/>
      <c r="J359" s="1372"/>
      <c r="K359" s="1266"/>
      <c r="L359" s="1451"/>
      <c r="M359" s="1448"/>
      <c r="N359" s="1370" t="str">
        <f>IF('別紙様式2-2（４・５月分）'!Q273="","",'別紙様式2-2（４・５月分）'!Q273)</f>
        <v/>
      </c>
      <c r="O359" s="1367"/>
      <c r="P359" s="1383"/>
      <c r="Q359" s="1384"/>
      <c r="R359" s="1385"/>
      <c r="S359" s="1393"/>
      <c r="T359" s="1414"/>
      <c r="U359" s="1563"/>
      <c r="V359" s="1458"/>
      <c r="W359" s="1351"/>
      <c r="X359" s="1535"/>
      <c r="Y359" s="1355"/>
      <c r="Z359" s="1535"/>
      <c r="AA359" s="1355"/>
      <c r="AB359" s="1535"/>
      <c r="AC359" s="1355"/>
      <c r="AD359" s="1535"/>
      <c r="AE359" s="1355"/>
      <c r="AF359" s="1355"/>
      <c r="AG359" s="1355"/>
      <c r="AH359" s="1361"/>
      <c r="AI359" s="1482"/>
      <c r="AJ359" s="1543"/>
      <c r="AK359" s="1539"/>
      <c r="AL359" s="1541"/>
      <c r="AM359" s="1572"/>
      <c r="AN359" s="1574"/>
      <c r="AO359" s="1404"/>
      <c r="AP359" s="1533"/>
      <c r="AQ359" s="1404"/>
      <c r="AR359" s="1584"/>
      <c r="AS359" s="1537"/>
      <c r="AT359" s="1532" t="str">
        <f t="shared" ref="AT359" si="423">IF(AV360="","",IF(OR(AB360="",AB360&lt;&gt;7,AD360="",AD360&lt;&gt;3),"！算定期間の終わりが令和７年３月になっていません。年度内の廃止予定等がなければ、算定対象月を令和７年３月にしてください。",""))</f>
        <v/>
      </c>
      <c r="AU359" s="674"/>
      <c r="AV359" s="1493"/>
      <c r="AW359" s="1518" t="str">
        <f>IF('別紙様式2-2（４・５月分）'!O273="","",'別紙様式2-2（４・５月分）'!O273)</f>
        <v/>
      </c>
      <c r="AX359" s="1507"/>
      <c r="AY359" s="1589"/>
      <c r="AZ359" s="521"/>
      <c r="BE359" s="428"/>
      <c r="BF359" s="1493" t="str">
        <f>G358</f>
        <v/>
      </c>
      <c r="BG359" s="1493"/>
      <c r="BH359" s="1493"/>
    </row>
    <row r="360" spans="1:60" ht="15" customHeight="1">
      <c r="A360" s="1240"/>
      <c r="B360" s="1272"/>
      <c r="C360" s="1261"/>
      <c r="D360" s="1261"/>
      <c r="E360" s="1261"/>
      <c r="F360" s="1262"/>
      <c r="G360" s="1266"/>
      <c r="H360" s="1266"/>
      <c r="I360" s="1266"/>
      <c r="J360" s="1372"/>
      <c r="K360" s="1266"/>
      <c r="L360" s="1451"/>
      <c r="M360" s="1448"/>
      <c r="N360" s="1371"/>
      <c r="O360" s="1368"/>
      <c r="P360" s="1390" t="s">
        <v>2179</v>
      </c>
      <c r="Q360" s="1504" t="str">
        <f>IFERROR(VLOOKUP('別紙様式2-2（４・５月分）'!AR272,【参考】数式用!$AT$5:$AV$22,3,FALSE),"")</f>
        <v/>
      </c>
      <c r="R360" s="1388" t="s">
        <v>2190</v>
      </c>
      <c r="S360" s="1396" t="str">
        <f>IFERROR(VLOOKUP(K358,【参考】数式用!$A$5:$AB$27,MATCH(Q360,【参考】数式用!$B$4:$AB$4,0)+1,0),"")</f>
        <v/>
      </c>
      <c r="T360" s="1459" t="s">
        <v>2267</v>
      </c>
      <c r="U360" s="1569"/>
      <c r="V360" s="1463" t="str">
        <f>IFERROR(VLOOKUP(K358,【参考】数式用!$A$5:$AB$27,MATCH(U360,【参考】数式用!$B$4:$AB$4,0)+1,0),"")</f>
        <v/>
      </c>
      <c r="W360" s="1465" t="s">
        <v>19</v>
      </c>
      <c r="X360" s="1564"/>
      <c r="Y360" s="1407" t="s">
        <v>10</v>
      </c>
      <c r="Z360" s="1564"/>
      <c r="AA360" s="1407" t="s">
        <v>45</v>
      </c>
      <c r="AB360" s="1564"/>
      <c r="AC360" s="1407" t="s">
        <v>10</v>
      </c>
      <c r="AD360" s="1564"/>
      <c r="AE360" s="1407" t="s">
        <v>2172</v>
      </c>
      <c r="AF360" s="1407" t="s">
        <v>24</v>
      </c>
      <c r="AG360" s="1407" t="str">
        <f>IF(X360&gt;=1,(AB360*12+AD360)-(X360*12+Z360)+1,"")</f>
        <v/>
      </c>
      <c r="AH360" s="1409" t="s">
        <v>38</v>
      </c>
      <c r="AI360" s="1411" t="str">
        <f t="shared" ref="AI360" si="424">IFERROR(ROUNDDOWN(ROUND(L358*V360,0)*M358,0)*AG360,"")</f>
        <v/>
      </c>
      <c r="AJ360" s="1577" t="str">
        <f>IFERROR(ROUNDDOWN(ROUND((L358*(V360-AX358)),0)*M358,0)*AG360,"")</f>
        <v/>
      </c>
      <c r="AK360" s="1494" t="str">
        <f>IFERROR(ROUNDDOWN(ROUNDDOWN(ROUND(L358*VLOOKUP(K358,【参考】数式用!$A$5:$AB$27,MATCH("新加算Ⅳ",【参考】数式用!$B$4:$AB$4,0)+1,0),0)*M358,0)*AG360*0.5,0),"")</f>
        <v/>
      </c>
      <c r="AL360" s="1579"/>
      <c r="AM360" s="1585" t="str">
        <f>IFERROR(IF('別紙様式2-2（４・５月分）'!Q274="ベア加算","", IF(OR(U360="新加算Ⅰ",U360="新加算Ⅱ",U360="新加算Ⅲ",U360="新加算Ⅳ"),ROUNDDOWN(ROUND(L358*VLOOKUP(K358,【参考】数式用!$A$5:$I$27,MATCH("ベア加算",【参考】数式用!$B$4:$I$4,0)+1,0),0)*M358,0)*AG360,"")),"")</f>
        <v/>
      </c>
      <c r="AN360" s="1548"/>
      <c r="AO360" s="1554"/>
      <c r="AP360" s="1552"/>
      <c r="AQ360" s="1554"/>
      <c r="AR360" s="1556"/>
      <c r="AS360" s="1558"/>
      <c r="AT360" s="1532"/>
      <c r="AU360" s="542"/>
      <c r="AV360" s="1493" t="str">
        <f t="shared" ref="AV360" si="425">IF(OR(AB358&lt;&gt;7,AD358&lt;&gt;3),"V列に色付け","")</f>
        <v/>
      </c>
      <c r="AW360" s="1518"/>
      <c r="AX360" s="1507"/>
      <c r="AY360" s="671"/>
      <c r="AZ360" s="1321" t="str">
        <f>IF(AM360&lt;&gt;"",IF(AN360="○","入力済","未入力"),"")</f>
        <v/>
      </c>
      <c r="BA360" s="1321"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321" t="str">
        <f>IF(OR(U360="新加算Ⅴ（７）",U360="新加算Ⅴ（９）",U360="新加算Ⅴ（10）",U360="新加算Ⅴ（12）",U360="新加算Ⅴ（13）",U360="新加算Ⅴ（14）"),IF(OR(AP360="○",AP360="令和６年度中に満たす"),"入力済","未入力"),"")</f>
        <v/>
      </c>
      <c r="BC360" s="1321" t="str">
        <f>IF(OR(U360="新加算Ⅰ",U360="新加算Ⅱ",U360="新加算Ⅲ",U360="新加算Ⅴ（１）",U360="新加算Ⅴ（３）",U360="新加算Ⅴ（８）"),IF(OR(AQ360="○",AQ360="令和６年度中に満たす"),"入力済","未入力"),"")</f>
        <v/>
      </c>
      <c r="BD360" s="1588"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493" t="str">
        <f>IF(OR(U360="新加算Ⅰ",U360="新加算Ⅴ（１）",U360="新加算Ⅴ（２）",U360="新加算Ⅴ（５）",U360="新加算Ⅴ（７）",U360="新加算Ⅴ（10）"),IF(AS360="","未入力","入力済"),"")</f>
        <v/>
      </c>
      <c r="BF360" s="1493" t="str">
        <f>G358</f>
        <v/>
      </c>
      <c r="BG360" s="1493"/>
      <c r="BH360" s="1493"/>
    </row>
    <row r="361" spans="1:60" ht="30" customHeight="1" thickBot="1">
      <c r="A361" s="1227"/>
      <c r="B361" s="1376"/>
      <c r="C361" s="1377"/>
      <c r="D361" s="1377"/>
      <c r="E361" s="1377"/>
      <c r="F361" s="1378"/>
      <c r="G361" s="1267"/>
      <c r="H361" s="1267"/>
      <c r="I361" s="1267"/>
      <c r="J361" s="1373"/>
      <c r="K361" s="1267"/>
      <c r="L361" s="1452"/>
      <c r="M361" s="1449"/>
      <c r="N361" s="650" t="str">
        <f>IF('別紙様式2-2（４・５月分）'!Q274="","",'別紙様式2-2（４・５月分）'!Q274)</f>
        <v/>
      </c>
      <c r="O361" s="1369"/>
      <c r="P361" s="1391"/>
      <c r="Q361" s="1505"/>
      <c r="R361" s="1389"/>
      <c r="S361" s="1395"/>
      <c r="T361" s="1460"/>
      <c r="U361" s="1570"/>
      <c r="V361" s="1464"/>
      <c r="W361" s="1466"/>
      <c r="X361" s="1565"/>
      <c r="Y361" s="1408"/>
      <c r="Z361" s="1565"/>
      <c r="AA361" s="1408"/>
      <c r="AB361" s="1565"/>
      <c r="AC361" s="1408"/>
      <c r="AD361" s="1565"/>
      <c r="AE361" s="1408"/>
      <c r="AF361" s="1408"/>
      <c r="AG361" s="1408"/>
      <c r="AH361" s="1410"/>
      <c r="AI361" s="1412"/>
      <c r="AJ361" s="1578"/>
      <c r="AK361" s="1495"/>
      <c r="AL361" s="1580"/>
      <c r="AM361" s="1586"/>
      <c r="AN361" s="1549"/>
      <c r="AO361" s="1555"/>
      <c r="AP361" s="1553"/>
      <c r="AQ361" s="1555"/>
      <c r="AR361" s="1557"/>
      <c r="AS361" s="1559"/>
      <c r="AT361" s="672" t="str">
        <f t="shared" ref="AT361" si="426">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42"/>
      <c r="AV361" s="1493"/>
      <c r="AW361" s="652" t="str">
        <f>IF('別紙様式2-2（４・５月分）'!O274="","",'別紙様式2-2（４・５月分）'!O274)</f>
        <v/>
      </c>
      <c r="AX361" s="1507"/>
      <c r="AY361" s="673"/>
      <c r="AZ361" s="1321" t="str">
        <f>IF(OR(U361="新加算Ⅰ",U361="新加算Ⅱ",U361="新加算Ⅲ",U361="新加算Ⅳ",U361="新加算Ⅴ（１）",U361="新加算Ⅴ（２）",U361="新加算Ⅴ（３）",U361="新加算ⅠⅤ（４）",U361="新加算Ⅴ（５）",U361="新加算Ⅴ（６）",U361="新加算Ⅴ（８）",U361="新加算Ⅴ（11）"),IF(AJ361="○","","未入力"),"")</f>
        <v/>
      </c>
      <c r="BA361" s="1321" t="str">
        <f>IF(OR(V361="新加算Ⅰ",V361="新加算Ⅱ",V361="新加算Ⅲ",V361="新加算Ⅳ",V361="新加算Ⅴ（１）",V361="新加算Ⅴ（２）",V361="新加算Ⅴ（３）",V361="新加算ⅠⅤ（４）",V361="新加算Ⅴ（５）",V361="新加算Ⅴ（６）",V361="新加算Ⅴ（８）",V361="新加算Ⅴ（11）"),IF(AK361="○","","未入力"),"")</f>
        <v/>
      </c>
      <c r="BB361" s="1321" t="str">
        <f>IF(OR(V361="新加算Ⅴ（７）",V361="新加算Ⅴ（９）",V361="新加算Ⅴ（10）",V361="新加算Ⅴ（12）",V361="新加算Ⅴ（13）",V361="新加算Ⅴ（14）"),IF(AL361="○","","未入力"),"")</f>
        <v/>
      </c>
      <c r="BC361" s="1321" t="str">
        <f>IF(OR(V361="新加算Ⅰ",V361="新加算Ⅱ",V361="新加算Ⅲ",V361="新加算Ⅴ（１）",V361="新加算Ⅴ（３）",V361="新加算Ⅴ（８）"),IF(AM361="○","","未入力"),"")</f>
        <v/>
      </c>
      <c r="BD361" s="1588"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493" t="str">
        <f>IF(AND(U361&lt;&gt;"（参考）令和７年度の移行予定",OR(V361="新加算Ⅰ",V361="新加算Ⅴ（１）",V361="新加算Ⅴ（２）",V361="新加算Ⅴ（５）",V361="新加算Ⅴ（７）",V361="新加算Ⅴ（10）")),IF(AO361="","未入力",IF(AO361="いずれも取得していない","要件を満たさない","")),"")</f>
        <v/>
      </c>
      <c r="BF361" s="1493" t="str">
        <f>G358</f>
        <v/>
      </c>
      <c r="BG361" s="1493"/>
      <c r="BH361" s="1493"/>
    </row>
    <row r="362" spans="1:60" ht="30" customHeight="1">
      <c r="A362" s="1241">
        <v>88</v>
      </c>
      <c r="B362" s="1272" t="str">
        <f>IF(基本情報入力シート!C141="","",基本情報入力シート!C141)</f>
        <v/>
      </c>
      <c r="C362" s="1261"/>
      <c r="D362" s="1261"/>
      <c r="E362" s="1261"/>
      <c r="F362" s="1262"/>
      <c r="G362" s="1266" t="str">
        <f>IF(基本情報入力シート!M141="","",基本情報入力シート!M141)</f>
        <v/>
      </c>
      <c r="H362" s="1266" t="str">
        <f>IF(基本情報入力シート!R141="","",基本情報入力シート!R141)</f>
        <v/>
      </c>
      <c r="I362" s="1266" t="str">
        <f>IF(基本情報入力シート!W141="","",基本情報入力シート!W141)</f>
        <v/>
      </c>
      <c r="J362" s="1372" t="str">
        <f>IF(基本情報入力シート!X141="","",基本情報入力シート!X141)</f>
        <v/>
      </c>
      <c r="K362" s="1266" t="str">
        <f>IF(基本情報入力シート!Y141="","",基本情報入力シート!Y141)</f>
        <v/>
      </c>
      <c r="L362" s="1451" t="str">
        <f>IF(基本情報入力シート!AB141="","",基本情報入力シート!AB141)</f>
        <v/>
      </c>
      <c r="M362" s="1453" t="str">
        <f>IF(基本情報入力シート!AC141="","",基本情報入力シート!AC141)</f>
        <v/>
      </c>
      <c r="N362" s="647" t="str">
        <f>IF('別紙様式2-2（４・５月分）'!Q275="","",'別紙様式2-2（４・５月分）'!Q275)</f>
        <v/>
      </c>
      <c r="O362" s="1366" t="str">
        <f>IF(SUM('別紙様式2-2（４・５月分）'!R275:R277)=0,"",SUM('別紙様式2-2（４・５月分）'!R275:R277))</f>
        <v/>
      </c>
      <c r="P362" s="1380" t="str">
        <f>IFERROR(VLOOKUP('別紙様式2-2（４・５月分）'!AR275,【参考】数式用!$AT$5:$AU$22,2,FALSE),"")</f>
        <v/>
      </c>
      <c r="Q362" s="1381"/>
      <c r="R362" s="1382"/>
      <c r="S362" s="1392" t="str">
        <f>IFERROR(VLOOKUP(K362,【参考】数式用!$A$5:$AB$27,MATCH(P362,【参考】数式用!$B$4:$AB$4,0)+1,0),"")</f>
        <v/>
      </c>
      <c r="T362" s="1413" t="s">
        <v>2258</v>
      </c>
      <c r="U362" s="1562" t="str">
        <f>IF('別紙様式2-3（６月以降分）'!U362="","",'別紙様式2-3（６月以降分）'!U362)</f>
        <v/>
      </c>
      <c r="V362" s="1457" t="str">
        <f>IFERROR(VLOOKUP(K362,【参考】数式用!$A$5:$AB$27,MATCH(U362,【参考】数式用!$B$4:$AB$4,0)+1,0),"")</f>
        <v/>
      </c>
      <c r="W362" s="1350" t="s">
        <v>19</v>
      </c>
      <c r="X362" s="1534">
        <f>'別紙様式2-3（６月以降分）'!X362</f>
        <v>6</v>
      </c>
      <c r="Y362" s="1354" t="s">
        <v>10</v>
      </c>
      <c r="Z362" s="1534">
        <f>'別紙様式2-3（６月以降分）'!Z362</f>
        <v>6</v>
      </c>
      <c r="AA362" s="1354" t="s">
        <v>45</v>
      </c>
      <c r="AB362" s="1534">
        <f>'別紙様式2-3（６月以降分）'!AB362</f>
        <v>7</v>
      </c>
      <c r="AC362" s="1354" t="s">
        <v>10</v>
      </c>
      <c r="AD362" s="1534">
        <f>'別紙様式2-3（６月以降分）'!AD362</f>
        <v>3</v>
      </c>
      <c r="AE362" s="1354" t="s">
        <v>2172</v>
      </c>
      <c r="AF362" s="1354" t="s">
        <v>24</v>
      </c>
      <c r="AG362" s="1354">
        <f>IF(X362&gt;=1,(AB362*12+AD362)-(X362*12+Z362)+1,"")</f>
        <v>10</v>
      </c>
      <c r="AH362" s="1360" t="s">
        <v>38</v>
      </c>
      <c r="AI362" s="1481" t="str">
        <f>'別紙様式2-3（６月以降分）'!AI362</f>
        <v/>
      </c>
      <c r="AJ362" s="1542" t="str">
        <f>'別紙様式2-3（６月以降分）'!AJ362</f>
        <v/>
      </c>
      <c r="AK362" s="1538">
        <f>'別紙様式2-3（６月以降分）'!AK362</f>
        <v>0</v>
      </c>
      <c r="AL362" s="1540" t="str">
        <f>IF('別紙様式2-3（６月以降分）'!AL362="","",'別紙様式2-3（６月以降分）'!AL362)</f>
        <v/>
      </c>
      <c r="AM362" s="1571">
        <f>'別紙様式2-3（６月以降分）'!AM362</f>
        <v>0</v>
      </c>
      <c r="AN362" s="1573" t="str">
        <f>IF('別紙様式2-3（６月以降分）'!AN362="","",'別紙様式2-3（６月以降分）'!AN362)</f>
        <v/>
      </c>
      <c r="AO362" s="1403" t="str">
        <f>IF('別紙様式2-3（６月以降分）'!AO362="","",'別紙様式2-3（６月以降分）'!AO362)</f>
        <v/>
      </c>
      <c r="AP362" s="1502" t="str">
        <f>IF('別紙様式2-3（６月以降分）'!AP362="","",'別紙様式2-3（６月以降分）'!AP362)</f>
        <v/>
      </c>
      <c r="AQ362" s="1403" t="str">
        <f>IF('別紙様式2-3（６月以降分）'!AQ362="","",'別紙様式2-3（６月以降分）'!AQ362)</f>
        <v/>
      </c>
      <c r="AR362" s="1583" t="str">
        <f>IF('別紙様式2-3（６月以降分）'!AR362="","",'別紙様式2-3（６月以降分）'!AR362)</f>
        <v/>
      </c>
      <c r="AS362" s="1536" t="str">
        <f>IF('別紙様式2-3（６月以降分）'!AS362="","",'別紙様式2-3（６月以降分）'!AS362)</f>
        <v/>
      </c>
      <c r="AT362" s="667" t="str">
        <f t="shared" ref="AT362" si="427">IF(AV364="","",IF(V364&lt;V362,"！加算の要件上は問題ありませんが、令和６年度当初の新加算の加算率と比較して、移行後の加算率が下がる計画になっています。",""))</f>
        <v/>
      </c>
      <c r="AU362" s="674"/>
      <c r="AV362" s="1233"/>
      <c r="AW362" s="652" t="str">
        <f>IF('別紙様式2-2（４・５月分）'!O275="","",'別紙様式2-2（４・５月分）'!O275)</f>
        <v/>
      </c>
      <c r="AX362" s="1507" t="str">
        <f>IF(SUM('別紙様式2-2（４・５月分）'!P275:P277)=0,"",SUM('別紙様式2-2（４・５月分）'!P275:P277))</f>
        <v/>
      </c>
      <c r="AY362" s="1589" t="str">
        <f>IFERROR(VLOOKUP(K362,【参考】数式用!$AJ$2:$AK$24,2,FALSE),"")</f>
        <v/>
      </c>
      <c r="AZ362" s="584"/>
      <c r="BE362" s="428"/>
      <c r="BF362" s="1493" t="str">
        <f>G362</f>
        <v/>
      </c>
      <c r="BG362" s="1493"/>
      <c r="BH362" s="1493"/>
    </row>
    <row r="363" spans="1:60" ht="15" customHeight="1">
      <c r="A363" s="1226"/>
      <c r="B363" s="1272"/>
      <c r="C363" s="1261"/>
      <c r="D363" s="1261"/>
      <c r="E363" s="1261"/>
      <c r="F363" s="1262"/>
      <c r="G363" s="1266"/>
      <c r="H363" s="1266"/>
      <c r="I363" s="1266"/>
      <c r="J363" s="1372"/>
      <c r="K363" s="1266"/>
      <c r="L363" s="1451"/>
      <c r="M363" s="1453"/>
      <c r="N363" s="1370" t="str">
        <f>IF('別紙様式2-2（４・５月分）'!Q276="","",'別紙様式2-2（４・５月分）'!Q276)</f>
        <v/>
      </c>
      <c r="O363" s="1367"/>
      <c r="P363" s="1383"/>
      <c r="Q363" s="1384"/>
      <c r="R363" s="1385"/>
      <c r="S363" s="1393"/>
      <c r="T363" s="1414"/>
      <c r="U363" s="1563"/>
      <c r="V363" s="1458"/>
      <c r="W363" s="1351"/>
      <c r="X363" s="1535"/>
      <c r="Y363" s="1355"/>
      <c r="Z363" s="1535"/>
      <c r="AA363" s="1355"/>
      <c r="AB363" s="1535"/>
      <c r="AC363" s="1355"/>
      <c r="AD363" s="1535"/>
      <c r="AE363" s="1355"/>
      <c r="AF363" s="1355"/>
      <c r="AG363" s="1355"/>
      <c r="AH363" s="1361"/>
      <c r="AI363" s="1482"/>
      <c r="AJ363" s="1543"/>
      <c r="AK363" s="1539"/>
      <c r="AL363" s="1541"/>
      <c r="AM363" s="1572"/>
      <c r="AN363" s="1574"/>
      <c r="AO363" s="1404"/>
      <c r="AP363" s="1533"/>
      <c r="AQ363" s="1404"/>
      <c r="AR363" s="1584"/>
      <c r="AS363" s="1537"/>
      <c r="AT363" s="1532" t="str">
        <f t="shared" ref="AT363" si="428">IF(AV364="","",IF(OR(AB364="",AB364&lt;&gt;7,AD364="",AD364&lt;&gt;3),"！算定期間の終わりが令和７年３月になっていません。年度内の廃止予定等がなければ、算定対象月を令和７年３月にしてください。",""))</f>
        <v/>
      </c>
      <c r="AU363" s="674"/>
      <c r="AV363" s="1493"/>
      <c r="AW363" s="1518" t="str">
        <f>IF('別紙様式2-2（４・５月分）'!O276="","",'別紙様式2-2（４・５月分）'!O276)</f>
        <v/>
      </c>
      <c r="AX363" s="1507"/>
      <c r="AY363" s="1589"/>
      <c r="AZ363" s="521"/>
      <c r="BE363" s="428"/>
      <c r="BF363" s="1493" t="str">
        <f>G362</f>
        <v/>
      </c>
      <c r="BG363" s="1493"/>
      <c r="BH363" s="1493"/>
    </row>
    <row r="364" spans="1:60" ht="15" customHeight="1">
      <c r="A364" s="1240"/>
      <c r="B364" s="1272"/>
      <c r="C364" s="1261"/>
      <c r="D364" s="1261"/>
      <c r="E364" s="1261"/>
      <c r="F364" s="1262"/>
      <c r="G364" s="1266"/>
      <c r="H364" s="1266"/>
      <c r="I364" s="1266"/>
      <c r="J364" s="1372"/>
      <c r="K364" s="1266"/>
      <c r="L364" s="1451"/>
      <c r="M364" s="1453"/>
      <c r="N364" s="1371"/>
      <c r="O364" s="1368"/>
      <c r="P364" s="1390" t="s">
        <v>2179</v>
      </c>
      <c r="Q364" s="1504" t="str">
        <f>IFERROR(VLOOKUP('別紙様式2-2（４・５月分）'!AR275,【参考】数式用!$AT$5:$AV$22,3,FALSE),"")</f>
        <v/>
      </c>
      <c r="R364" s="1388" t="s">
        <v>2190</v>
      </c>
      <c r="S364" s="1394" t="str">
        <f>IFERROR(VLOOKUP(K362,【参考】数式用!$A$5:$AB$27,MATCH(Q364,【参考】数式用!$B$4:$AB$4,0)+1,0),"")</f>
        <v/>
      </c>
      <c r="T364" s="1459" t="s">
        <v>2267</v>
      </c>
      <c r="U364" s="1569"/>
      <c r="V364" s="1463" t="str">
        <f>IFERROR(VLOOKUP(K362,【参考】数式用!$A$5:$AB$27,MATCH(U364,【参考】数式用!$B$4:$AB$4,0)+1,0),"")</f>
        <v/>
      </c>
      <c r="W364" s="1465" t="s">
        <v>19</v>
      </c>
      <c r="X364" s="1564"/>
      <c r="Y364" s="1407" t="s">
        <v>10</v>
      </c>
      <c r="Z364" s="1564"/>
      <c r="AA364" s="1407" t="s">
        <v>45</v>
      </c>
      <c r="AB364" s="1564"/>
      <c r="AC364" s="1407" t="s">
        <v>10</v>
      </c>
      <c r="AD364" s="1564"/>
      <c r="AE364" s="1407" t="s">
        <v>2172</v>
      </c>
      <c r="AF364" s="1407" t="s">
        <v>24</v>
      </c>
      <c r="AG364" s="1407" t="str">
        <f>IF(X364&gt;=1,(AB364*12+AD364)-(X364*12+Z364)+1,"")</f>
        <v/>
      </c>
      <c r="AH364" s="1409" t="s">
        <v>38</v>
      </c>
      <c r="AI364" s="1411" t="str">
        <f t="shared" ref="AI364" si="429">IFERROR(ROUNDDOWN(ROUND(L362*V364,0)*M362,0)*AG364,"")</f>
        <v/>
      </c>
      <c r="AJ364" s="1577" t="str">
        <f>IFERROR(ROUNDDOWN(ROUND((L362*(V364-AX362)),0)*M362,0)*AG364,"")</f>
        <v/>
      </c>
      <c r="AK364" s="1494" t="str">
        <f>IFERROR(ROUNDDOWN(ROUNDDOWN(ROUND(L362*VLOOKUP(K362,【参考】数式用!$A$5:$AB$27,MATCH("新加算Ⅳ",【参考】数式用!$B$4:$AB$4,0)+1,0),0)*M362,0)*AG364*0.5,0),"")</f>
        <v/>
      </c>
      <c r="AL364" s="1579"/>
      <c r="AM364" s="1585" t="str">
        <f>IFERROR(IF('別紙様式2-2（４・５月分）'!Q277="ベア加算","", IF(OR(U364="新加算Ⅰ",U364="新加算Ⅱ",U364="新加算Ⅲ",U364="新加算Ⅳ"),ROUNDDOWN(ROUND(L362*VLOOKUP(K362,【参考】数式用!$A$5:$I$27,MATCH("ベア加算",【参考】数式用!$B$4:$I$4,0)+1,0),0)*M362,0)*AG364,"")),"")</f>
        <v/>
      </c>
      <c r="AN364" s="1548"/>
      <c r="AO364" s="1554"/>
      <c r="AP364" s="1552"/>
      <c r="AQ364" s="1554"/>
      <c r="AR364" s="1556"/>
      <c r="AS364" s="1558"/>
      <c r="AT364" s="1532"/>
      <c r="AU364" s="542"/>
      <c r="AV364" s="1493" t="str">
        <f t="shared" ref="AV364" si="430">IF(OR(AB362&lt;&gt;7,AD362&lt;&gt;3),"V列に色付け","")</f>
        <v/>
      </c>
      <c r="AW364" s="1518"/>
      <c r="AX364" s="1507"/>
      <c r="AY364" s="671"/>
      <c r="AZ364" s="1321" t="str">
        <f>IF(AM364&lt;&gt;"",IF(AN364="○","入力済","未入力"),"")</f>
        <v/>
      </c>
      <c r="BA364" s="1321"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321" t="str">
        <f>IF(OR(U364="新加算Ⅴ（７）",U364="新加算Ⅴ（９）",U364="新加算Ⅴ（10）",U364="新加算Ⅴ（12）",U364="新加算Ⅴ（13）",U364="新加算Ⅴ（14）"),IF(OR(AP364="○",AP364="令和６年度中に満たす"),"入力済","未入力"),"")</f>
        <v/>
      </c>
      <c r="BC364" s="1321" t="str">
        <f>IF(OR(U364="新加算Ⅰ",U364="新加算Ⅱ",U364="新加算Ⅲ",U364="新加算Ⅴ（１）",U364="新加算Ⅴ（３）",U364="新加算Ⅴ（８）"),IF(OR(AQ364="○",AQ364="令和６年度中に満たす"),"入力済","未入力"),"")</f>
        <v/>
      </c>
      <c r="BD364" s="1588"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493" t="str">
        <f>IF(OR(U364="新加算Ⅰ",U364="新加算Ⅴ（１）",U364="新加算Ⅴ（２）",U364="新加算Ⅴ（５）",U364="新加算Ⅴ（７）",U364="新加算Ⅴ（10）"),IF(AS364="","未入力","入力済"),"")</f>
        <v/>
      </c>
      <c r="BF364" s="1493" t="str">
        <f>G362</f>
        <v/>
      </c>
      <c r="BG364" s="1493"/>
      <c r="BH364" s="1493"/>
    </row>
    <row r="365" spans="1:60" ht="30" customHeight="1" thickBot="1">
      <c r="A365" s="1227"/>
      <c r="B365" s="1376"/>
      <c r="C365" s="1377"/>
      <c r="D365" s="1377"/>
      <c r="E365" s="1377"/>
      <c r="F365" s="1378"/>
      <c r="G365" s="1267"/>
      <c r="H365" s="1267"/>
      <c r="I365" s="1267"/>
      <c r="J365" s="1373"/>
      <c r="K365" s="1267"/>
      <c r="L365" s="1452"/>
      <c r="M365" s="1454"/>
      <c r="N365" s="650" t="str">
        <f>IF('別紙様式2-2（４・５月分）'!Q277="","",'別紙様式2-2（４・５月分）'!Q277)</f>
        <v/>
      </c>
      <c r="O365" s="1369"/>
      <c r="P365" s="1391"/>
      <c r="Q365" s="1505"/>
      <c r="R365" s="1389"/>
      <c r="S365" s="1395"/>
      <c r="T365" s="1460"/>
      <c r="U365" s="1570"/>
      <c r="V365" s="1464"/>
      <c r="W365" s="1466"/>
      <c r="X365" s="1565"/>
      <c r="Y365" s="1408"/>
      <c r="Z365" s="1565"/>
      <c r="AA365" s="1408"/>
      <c r="AB365" s="1565"/>
      <c r="AC365" s="1408"/>
      <c r="AD365" s="1565"/>
      <c r="AE365" s="1408"/>
      <c r="AF365" s="1408"/>
      <c r="AG365" s="1408"/>
      <c r="AH365" s="1410"/>
      <c r="AI365" s="1412"/>
      <c r="AJ365" s="1578"/>
      <c r="AK365" s="1495"/>
      <c r="AL365" s="1580"/>
      <c r="AM365" s="1586"/>
      <c r="AN365" s="1549"/>
      <c r="AO365" s="1555"/>
      <c r="AP365" s="1553"/>
      <c r="AQ365" s="1555"/>
      <c r="AR365" s="1557"/>
      <c r="AS365" s="1559"/>
      <c r="AT365" s="672" t="str">
        <f t="shared" ref="AT365" si="431">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42"/>
      <c r="AV365" s="1493"/>
      <c r="AW365" s="652" t="str">
        <f>IF('別紙様式2-2（４・５月分）'!O277="","",'別紙様式2-2（４・５月分）'!O277)</f>
        <v/>
      </c>
      <c r="AX365" s="1507"/>
      <c r="AY365" s="673"/>
      <c r="AZ365" s="1321" t="str">
        <f>IF(OR(U365="新加算Ⅰ",U365="新加算Ⅱ",U365="新加算Ⅲ",U365="新加算Ⅳ",U365="新加算Ⅴ（１）",U365="新加算Ⅴ（２）",U365="新加算Ⅴ（３）",U365="新加算ⅠⅤ（４）",U365="新加算Ⅴ（５）",U365="新加算Ⅴ（６）",U365="新加算Ⅴ（８）",U365="新加算Ⅴ（11）"),IF(AJ365="○","","未入力"),"")</f>
        <v/>
      </c>
      <c r="BA365" s="1321" t="str">
        <f>IF(OR(V365="新加算Ⅰ",V365="新加算Ⅱ",V365="新加算Ⅲ",V365="新加算Ⅳ",V365="新加算Ⅴ（１）",V365="新加算Ⅴ（２）",V365="新加算Ⅴ（３）",V365="新加算ⅠⅤ（４）",V365="新加算Ⅴ（５）",V365="新加算Ⅴ（６）",V365="新加算Ⅴ（８）",V365="新加算Ⅴ（11）"),IF(AK365="○","","未入力"),"")</f>
        <v/>
      </c>
      <c r="BB365" s="1321" t="str">
        <f>IF(OR(V365="新加算Ⅴ（７）",V365="新加算Ⅴ（９）",V365="新加算Ⅴ（10）",V365="新加算Ⅴ（12）",V365="新加算Ⅴ（13）",V365="新加算Ⅴ（14）"),IF(AL365="○","","未入力"),"")</f>
        <v/>
      </c>
      <c r="BC365" s="1321" t="str">
        <f>IF(OR(V365="新加算Ⅰ",V365="新加算Ⅱ",V365="新加算Ⅲ",V365="新加算Ⅴ（１）",V365="新加算Ⅴ（３）",V365="新加算Ⅴ（８）"),IF(AM365="○","","未入力"),"")</f>
        <v/>
      </c>
      <c r="BD365" s="1588"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493" t="str">
        <f>IF(AND(U365&lt;&gt;"（参考）令和７年度の移行予定",OR(V365="新加算Ⅰ",V365="新加算Ⅴ（１）",V365="新加算Ⅴ（２）",V365="新加算Ⅴ（５）",V365="新加算Ⅴ（７）",V365="新加算Ⅴ（10）")),IF(AO365="","未入力",IF(AO365="いずれも取得していない","要件を満たさない","")),"")</f>
        <v/>
      </c>
      <c r="BF365" s="1493" t="str">
        <f>G362</f>
        <v/>
      </c>
      <c r="BG365" s="1493"/>
      <c r="BH365" s="1493"/>
    </row>
    <row r="366" spans="1:60" ht="30" customHeight="1">
      <c r="A366" s="1225">
        <v>89</v>
      </c>
      <c r="B366" s="1271" t="str">
        <f>IF(基本情報入力シート!C142="","",基本情報入力シート!C142)</f>
        <v/>
      </c>
      <c r="C366" s="1259"/>
      <c r="D366" s="1259"/>
      <c r="E366" s="1259"/>
      <c r="F366" s="1260"/>
      <c r="G366" s="1265" t="str">
        <f>IF(基本情報入力シート!M142="","",基本情報入力シート!M142)</f>
        <v/>
      </c>
      <c r="H366" s="1265" t="str">
        <f>IF(基本情報入力シート!R142="","",基本情報入力シート!R142)</f>
        <v/>
      </c>
      <c r="I366" s="1265" t="str">
        <f>IF(基本情報入力シート!W142="","",基本情報入力シート!W142)</f>
        <v/>
      </c>
      <c r="J366" s="1379" t="str">
        <f>IF(基本情報入力シート!X142="","",基本情報入力シート!X142)</f>
        <v/>
      </c>
      <c r="K366" s="1265" t="str">
        <f>IF(基本情報入力シート!Y142="","",基本情報入力シート!Y142)</f>
        <v/>
      </c>
      <c r="L366" s="1450" t="str">
        <f>IF(基本情報入力シート!AB142="","",基本情報入力シート!AB142)</f>
        <v/>
      </c>
      <c r="M366" s="1447" t="str">
        <f>IF(基本情報入力シート!AC142="","",基本情報入力シート!AC142)</f>
        <v/>
      </c>
      <c r="N366" s="647" t="str">
        <f>IF('別紙様式2-2（４・５月分）'!Q278="","",'別紙様式2-2（４・５月分）'!Q278)</f>
        <v/>
      </c>
      <c r="O366" s="1366" t="str">
        <f>IF(SUM('別紙様式2-2（４・５月分）'!R278:R280)=0,"",SUM('別紙様式2-2（４・５月分）'!R278:R280))</f>
        <v/>
      </c>
      <c r="P366" s="1380" t="str">
        <f>IFERROR(VLOOKUP('別紙様式2-2（４・５月分）'!AR278,【参考】数式用!$AT$5:$AU$22,2,FALSE),"")</f>
        <v/>
      </c>
      <c r="Q366" s="1381"/>
      <c r="R366" s="1382"/>
      <c r="S366" s="1392" t="str">
        <f>IFERROR(VLOOKUP(K366,【参考】数式用!$A$5:$AB$27,MATCH(P366,【参考】数式用!$B$4:$AB$4,0)+1,0),"")</f>
        <v/>
      </c>
      <c r="T366" s="1413" t="s">
        <v>2258</v>
      </c>
      <c r="U366" s="1562" t="str">
        <f>IF('別紙様式2-3（６月以降分）'!U366="","",'別紙様式2-3（６月以降分）'!U366)</f>
        <v/>
      </c>
      <c r="V366" s="1457" t="str">
        <f>IFERROR(VLOOKUP(K366,【参考】数式用!$A$5:$AB$27,MATCH(U366,【参考】数式用!$B$4:$AB$4,0)+1,0),"")</f>
        <v/>
      </c>
      <c r="W366" s="1350" t="s">
        <v>19</v>
      </c>
      <c r="X366" s="1534">
        <f>'別紙様式2-3（６月以降分）'!X366</f>
        <v>6</v>
      </c>
      <c r="Y366" s="1354" t="s">
        <v>10</v>
      </c>
      <c r="Z366" s="1534">
        <f>'別紙様式2-3（６月以降分）'!Z366</f>
        <v>6</v>
      </c>
      <c r="AA366" s="1354" t="s">
        <v>45</v>
      </c>
      <c r="AB366" s="1534">
        <f>'別紙様式2-3（６月以降分）'!AB366</f>
        <v>7</v>
      </c>
      <c r="AC366" s="1354" t="s">
        <v>10</v>
      </c>
      <c r="AD366" s="1534">
        <f>'別紙様式2-3（６月以降分）'!AD366</f>
        <v>3</v>
      </c>
      <c r="AE366" s="1354" t="s">
        <v>2172</v>
      </c>
      <c r="AF366" s="1354" t="s">
        <v>24</v>
      </c>
      <c r="AG366" s="1354">
        <f>IF(X366&gt;=1,(AB366*12+AD366)-(X366*12+Z366)+1,"")</f>
        <v>10</v>
      </c>
      <c r="AH366" s="1360" t="s">
        <v>38</v>
      </c>
      <c r="AI366" s="1481" t="str">
        <f>'別紙様式2-3（６月以降分）'!AI366</f>
        <v/>
      </c>
      <c r="AJ366" s="1542" t="str">
        <f>'別紙様式2-3（６月以降分）'!AJ366</f>
        <v/>
      </c>
      <c r="AK366" s="1538">
        <f>'別紙様式2-3（６月以降分）'!AK366</f>
        <v>0</v>
      </c>
      <c r="AL366" s="1540" t="str">
        <f>IF('別紙様式2-3（６月以降分）'!AL366="","",'別紙様式2-3（６月以降分）'!AL366)</f>
        <v/>
      </c>
      <c r="AM366" s="1571">
        <f>'別紙様式2-3（６月以降分）'!AM366</f>
        <v>0</v>
      </c>
      <c r="AN366" s="1573" t="str">
        <f>IF('別紙様式2-3（６月以降分）'!AN366="","",'別紙様式2-3（６月以降分）'!AN366)</f>
        <v/>
      </c>
      <c r="AO366" s="1403" t="str">
        <f>IF('別紙様式2-3（６月以降分）'!AO366="","",'別紙様式2-3（６月以降分）'!AO366)</f>
        <v/>
      </c>
      <c r="AP366" s="1502" t="str">
        <f>IF('別紙様式2-3（６月以降分）'!AP366="","",'別紙様式2-3（６月以降分）'!AP366)</f>
        <v/>
      </c>
      <c r="AQ366" s="1403" t="str">
        <f>IF('別紙様式2-3（６月以降分）'!AQ366="","",'別紙様式2-3（６月以降分）'!AQ366)</f>
        <v/>
      </c>
      <c r="AR366" s="1583" t="str">
        <f>IF('別紙様式2-3（６月以降分）'!AR366="","",'別紙様式2-3（６月以降分）'!AR366)</f>
        <v/>
      </c>
      <c r="AS366" s="1536" t="str">
        <f>IF('別紙様式2-3（６月以降分）'!AS366="","",'別紙様式2-3（６月以降分）'!AS366)</f>
        <v/>
      </c>
      <c r="AT366" s="667" t="str">
        <f t="shared" ref="AT366" si="432">IF(AV368="","",IF(V368&lt;V366,"！加算の要件上は問題ありませんが、令和６年度当初の新加算の加算率と比較して、移行後の加算率が下がる計画になっています。",""))</f>
        <v/>
      </c>
      <c r="AU366" s="674"/>
      <c r="AV366" s="1233"/>
      <c r="AW366" s="652" t="str">
        <f>IF('別紙様式2-2（４・５月分）'!O278="","",'別紙様式2-2（４・５月分）'!O278)</f>
        <v/>
      </c>
      <c r="AX366" s="1507" t="str">
        <f>IF(SUM('別紙様式2-2（４・５月分）'!P278:P280)=0,"",SUM('別紙様式2-2（４・５月分）'!P278:P280))</f>
        <v/>
      </c>
      <c r="AY366" s="1590" t="str">
        <f>IFERROR(VLOOKUP(K366,【参考】数式用!$AJ$2:$AK$24,2,FALSE),"")</f>
        <v/>
      </c>
      <c r="AZ366" s="584"/>
      <c r="BE366" s="428"/>
      <c r="BF366" s="1493" t="str">
        <f>G366</f>
        <v/>
      </c>
      <c r="BG366" s="1493"/>
      <c r="BH366" s="1493"/>
    </row>
    <row r="367" spans="1:60" ht="15" customHeight="1">
      <c r="A367" s="1226"/>
      <c r="B367" s="1272"/>
      <c r="C367" s="1261"/>
      <c r="D367" s="1261"/>
      <c r="E367" s="1261"/>
      <c r="F367" s="1262"/>
      <c r="G367" s="1266"/>
      <c r="H367" s="1266"/>
      <c r="I367" s="1266"/>
      <c r="J367" s="1372"/>
      <c r="K367" s="1266"/>
      <c r="L367" s="1451"/>
      <c r="M367" s="1448"/>
      <c r="N367" s="1370" t="str">
        <f>IF('別紙様式2-2（４・５月分）'!Q279="","",'別紙様式2-2（４・５月分）'!Q279)</f>
        <v/>
      </c>
      <c r="O367" s="1367"/>
      <c r="P367" s="1383"/>
      <c r="Q367" s="1384"/>
      <c r="R367" s="1385"/>
      <c r="S367" s="1393"/>
      <c r="T367" s="1414"/>
      <c r="U367" s="1563"/>
      <c r="V367" s="1458"/>
      <c r="W367" s="1351"/>
      <c r="X367" s="1535"/>
      <c r="Y367" s="1355"/>
      <c r="Z367" s="1535"/>
      <c r="AA367" s="1355"/>
      <c r="AB367" s="1535"/>
      <c r="AC367" s="1355"/>
      <c r="AD367" s="1535"/>
      <c r="AE367" s="1355"/>
      <c r="AF367" s="1355"/>
      <c r="AG367" s="1355"/>
      <c r="AH367" s="1361"/>
      <c r="AI367" s="1482"/>
      <c r="AJ367" s="1543"/>
      <c r="AK367" s="1539"/>
      <c r="AL367" s="1541"/>
      <c r="AM367" s="1572"/>
      <c r="AN367" s="1574"/>
      <c r="AO367" s="1404"/>
      <c r="AP367" s="1533"/>
      <c r="AQ367" s="1404"/>
      <c r="AR367" s="1584"/>
      <c r="AS367" s="1537"/>
      <c r="AT367" s="1532" t="str">
        <f t="shared" ref="AT367" si="433">IF(AV368="","",IF(OR(AB368="",AB368&lt;&gt;7,AD368="",AD368&lt;&gt;3),"！算定期間の終わりが令和７年３月になっていません。年度内の廃止予定等がなければ、算定対象月を令和７年３月にしてください。",""))</f>
        <v/>
      </c>
      <c r="AU367" s="674"/>
      <c r="AV367" s="1493"/>
      <c r="AW367" s="1518" t="str">
        <f>IF('別紙様式2-2（４・５月分）'!O279="","",'別紙様式2-2（４・５月分）'!O279)</f>
        <v/>
      </c>
      <c r="AX367" s="1507"/>
      <c r="AY367" s="1589"/>
      <c r="AZ367" s="521"/>
      <c r="BE367" s="428"/>
      <c r="BF367" s="1493" t="str">
        <f>G366</f>
        <v/>
      </c>
      <c r="BG367" s="1493"/>
      <c r="BH367" s="1493"/>
    </row>
    <row r="368" spans="1:60" ht="15" customHeight="1">
      <c r="A368" s="1240"/>
      <c r="B368" s="1272"/>
      <c r="C368" s="1261"/>
      <c r="D368" s="1261"/>
      <c r="E368" s="1261"/>
      <c r="F368" s="1262"/>
      <c r="G368" s="1266"/>
      <c r="H368" s="1266"/>
      <c r="I368" s="1266"/>
      <c r="J368" s="1372"/>
      <c r="K368" s="1266"/>
      <c r="L368" s="1451"/>
      <c r="M368" s="1448"/>
      <c r="N368" s="1371"/>
      <c r="O368" s="1368"/>
      <c r="P368" s="1390" t="s">
        <v>2179</v>
      </c>
      <c r="Q368" s="1504" t="str">
        <f>IFERROR(VLOOKUP('別紙様式2-2（４・５月分）'!AR278,【参考】数式用!$AT$5:$AV$22,3,FALSE),"")</f>
        <v/>
      </c>
      <c r="R368" s="1388" t="s">
        <v>2190</v>
      </c>
      <c r="S368" s="1396" t="str">
        <f>IFERROR(VLOOKUP(K366,【参考】数式用!$A$5:$AB$27,MATCH(Q368,【参考】数式用!$B$4:$AB$4,0)+1,0),"")</f>
        <v/>
      </c>
      <c r="T368" s="1459" t="s">
        <v>2267</v>
      </c>
      <c r="U368" s="1569"/>
      <c r="V368" s="1463" t="str">
        <f>IFERROR(VLOOKUP(K366,【参考】数式用!$A$5:$AB$27,MATCH(U368,【参考】数式用!$B$4:$AB$4,0)+1,0),"")</f>
        <v/>
      </c>
      <c r="W368" s="1465" t="s">
        <v>19</v>
      </c>
      <c r="X368" s="1564"/>
      <c r="Y368" s="1407" t="s">
        <v>10</v>
      </c>
      <c r="Z368" s="1564"/>
      <c r="AA368" s="1407" t="s">
        <v>45</v>
      </c>
      <c r="AB368" s="1564"/>
      <c r="AC368" s="1407" t="s">
        <v>10</v>
      </c>
      <c r="AD368" s="1564"/>
      <c r="AE368" s="1407" t="s">
        <v>2172</v>
      </c>
      <c r="AF368" s="1407" t="s">
        <v>24</v>
      </c>
      <c r="AG368" s="1407" t="str">
        <f>IF(X368&gt;=1,(AB368*12+AD368)-(X368*12+Z368)+1,"")</f>
        <v/>
      </c>
      <c r="AH368" s="1409" t="s">
        <v>38</v>
      </c>
      <c r="AI368" s="1411" t="str">
        <f t="shared" ref="AI368" si="434">IFERROR(ROUNDDOWN(ROUND(L366*V368,0)*M366,0)*AG368,"")</f>
        <v/>
      </c>
      <c r="AJ368" s="1577" t="str">
        <f>IFERROR(ROUNDDOWN(ROUND((L366*(V368-AX366)),0)*M366,0)*AG368,"")</f>
        <v/>
      </c>
      <c r="AK368" s="1494" t="str">
        <f>IFERROR(ROUNDDOWN(ROUNDDOWN(ROUND(L366*VLOOKUP(K366,【参考】数式用!$A$5:$AB$27,MATCH("新加算Ⅳ",【参考】数式用!$B$4:$AB$4,0)+1,0),0)*M366,0)*AG368*0.5,0),"")</f>
        <v/>
      </c>
      <c r="AL368" s="1579"/>
      <c r="AM368" s="1585" t="str">
        <f>IFERROR(IF('別紙様式2-2（４・５月分）'!Q280="ベア加算","", IF(OR(U368="新加算Ⅰ",U368="新加算Ⅱ",U368="新加算Ⅲ",U368="新加算Ⅳ"),ROUNDDOWN(ROUND(L366*VLOOKUP(K366,【参考】数式用!$A$5:$I$27,MATCH("ベア加算",【参考】数式用!$B$4:$I$4,0)+1,0),0)*M366,0)*AG368,"")),"")</f>
        <v/>
      </c>
      <c r="AN368" s="1548"/>
      <c r="AO368" s="1554"/>
      <c r="AP368" s="1552"/>
      <c r="AQ368" s="1554"/>
      <c r="AR368" s="1556"/>
      <c r="AS368" s="1558"/>
      <c r="AT368" s="1532"/>
      <c r="AU368" s="542"/>
      <c r="AV368" s="1493" t="str">
        <f t="shared" ref="AV368" si="435">IF(OR(AB366&lt;&gt;7,AD366&lt;&gt;3),"V列に色付け","")</f>
        <v/>
      </c>
      <c r="AW368" s="1518"/>
      <c r="AX368" s="1507"/>
      <c r="AY368" s="671"/>
      <c r="AZ368" s="1321" t="str">
        <f>IF(AM368&lt;&gt;"",IF(AN368="○","入力済","未入力"),"")</f>
        <v/>
      </c>
      <c r="BA368" s="1321"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321" t="str">
        <f>IF(OR(U368="新加算Ⅴ（７）",U368="新加算Ⅴ（９）",U368="新加算Ⅴ（10）",U368="新加算Ⅴ（12）",U368="新加算Ⅴ（13）",U368="新加算Ⅴ（14）"),IF(OR(AP368="○",AP368="令和６年度中に満たす"),"入力済","未入力"),"")</f>
        <v/>
      </c>
      <c r="BC368" s="1321" t="str">
        <f>IF(OR(U368="新加算Ⅰ",U368="新加算Ⅱ",U368="新加算Ⅲ",U368="新加算Ⅴ（１）",U368="新加算Ⅴ（３）",U368="新加算Ⅴ（８）"),IF(OR(AQ368="○",AQ368="令和６年度中に満たす"),"入力済","未入力"),"")</f>
        <v/>
      </c>
      <c r="BD368" s="1588"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493" t="str">
        <f>IF(OR(U368="新加算Ⅰ",U368="新加算Ⅴ（１）",U368="新加算Ⅴ（２）",U368="新加算Ⅴ（５）",U368="新加算Ⅴ（７）",U368="新加算Ⅴ（10）"),IF(AS368="","未入力","入力済"),"")</f>
        <v/>
      </c>
      <c r="BF368" s="1493" t="str">
        <f>G366</f>
        <v/>
      </c>
      <c r="BG368" s="1493"/>
      <c r="BH368" s="1493"/>
    </row>
    <row r="369" spans="1:60" ht="30" customHeight="1" thickBot="1">
      <c r="A369" s="1227"/>
      <c r="B369" s="1376"/>
      <c r="C369" s="1377"/>
      <c r="D369" s="1377"/>
      <c r="E369" s="1377"/>
      <c r="F369" s="1378"/>
      <c r="G369" s="1267"/>
      <c r="H369" s="1267"/>
      <c r="I369" s="1267"/>
      <c r="J369" s="1373"/>
      <c r="K369" s="1267"/>
      <c r="L369" s="1452"/>
      <c r="M369" s="1449"/>
      <c r="N369" s="650" t="str">
        <f>IF('別紙様式2-2（４・５月分）'!Q280="","",'別紙様式2-2（４・５月分）'!Q280)</f>
        <v/>
      </c>
      <c r="O369" s="1369"/>
      <c r="P369" s="1391"/>
      <c r="Q369" s="1505"/>
      <c r="R369" s="1389"/>
      <c r="S369" s="1395"/>
      <c r="T369" s="1460"/>
      <c r="U369" s="1570"/>
      <c r="V369" s="1464"/>
      <c r="W369" s="1466"/>
      <c r="X369" s="1565"/>
      <c r="Y369" s="1408"/>
      <c r="Z369" s="1565"/>
      <c r="AA369" s="1408"/>
      <c r="AB369" s="1565"/>
      <c r="AC369" s="1408"/>
      <c r="AD369" s="1565"/>
      <c r="AE369" s="1408"/>
      <c r="AF369" s="1408"/>
      <c r="AG369" s="1408"/>
      <c r="AH369" s="1410"/>
      <c r="AI369" s="1412"/>
      <c r="AJ369" s="1578"/>
      <c r="AK369" s="1495"/>
      <c r="AL369" s="1580"/>
      <c r="AM369" s="1586"/>
      <c r="AN369" s="1549"/>
      <c r="AO369" s="1555"/>
      <c r="AP369" s="1553"/>
      <c r="AQ369" s="1555"/>
      <c r="AR369" s="1557"/>
      <c r="AS369" s="1559"/>
      <c r="AT369" s="672" t="str">
        <f t="shared" ref="AT369" si="436">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42"/>
      <c r="AV369" s="1493"/>
      <c r="AW369" s="652" t="str">
        <f>IF('別紙様式2-2（４・５月分）'!O280="","",'別紙様式2-2（４・５月分）'!O280)</f>
        <v/>
      </c>
      <c r="AX369" s="1507"/>
      <c r="AY369" s="673"/>
      <c r="AZ369" s="1321" t="str">
        <f>IF(OR(U369="新加算Ⅰ",U369="新加算Ⅱ",U369="新加算Ⅲ",U369="新加算Ⅳ",U369="新加算Ⅴ（１）",U369="新加算Ⅴ（２）",U369="新加算Ⅴ（３）",U369="新加算ⅠⅤ（４）",U369="新加算Ⅴ（５）",U369="新加算Ⅴ（６）",U369="新加算Ⅴ（８）",U369="新加算Ⅴ（11）"),IF(AJ369="○","","未入力"),"")</f>
        <v/>
      </c>
      <c r="BA369" s="1321" t="str">
        <f>IF(OR(V369="新加算Ⅰ",V369="新加算Ⅱ",V369="新加算Ⅲ",V369="新加算Ⅳ",V369="新加算Ⅴ（１）",V369="新加算Ⅴ（２）",V369="新加算Ⅴ（３）",V369="新加算ⅠⅤ（４）",V369="新加算Ⅴ（５）",V369="新加算Ⅴ（６）",V369="新加算Ⅴ（８）",V369="新加算Ⅴ（11）"),IF(AK369="○","","未入力"),"")</f>
        <v/>
      </c>
      <c r="BB369" s="1321" t="str">
        <f>IF(OR(V369="新加算Ⅴ（７）",V369="新加算Ⅴ（９）",V369="新加算Ⅴ（10）",V369="新加算Ⅴ（12）",V369="新加算Ⅴ（13）",V369="新加算Ⅴ（14）"),IF(AL369="○","","未入力"),"")</f>
        <v/>
      </c>
      <c r="BC369" s="1321" t="str">
        <f>IF(OR(V369="新加算Ⅰ",V369="新加算Ⅱ",V369="新加算Ⅲ",V369="新加算Ⅴ（１）",V369="新加算Ⅴ（３）",V369="新加算Ⅴ（８）"),IF(AM369="○","","未入力"),"")</f>
        <v/>
      </c>
      <c r="BD369" s="1588"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493" t="str">
        <f>IF(AND(U369&lt;&gt;"（参考）令和７年度の移行予定",OR(V369="新加算Ⅰ",V369="新加算Ⅴ（１）",V369="新加算Ⅴ（２）",V369="新加算Ⅴ（５）",V369="新加算Ⅴ（７）",V369="新加算Ⅴ（10）")),IF(AO369="","未入力",IF(AO369="いずれも取得していない","要件を満たさない","")),"")</f>
        <v/>
      </c>
      <c r="BF369" s="1493" t="str">
        <f>G366</f>
        <v/>
      </c>
      <c r="BG369" s="1493"/>
      <c r="BH369" s="1493"/>
    </row>
    <row r="370" spans="1:60" ht="30" customHeight="1">
      <c r="A370" s="1241">
        <v>90</v>
      </c>
      <c r="B370" s="1272" t="str">
        <f>IF(基本情報入力シート!C143="","",基本情報入力シート!C143)</f>
        <v/>
      </c>
      <c r="C370" s="1261"/>
      <c r="D370" s="1261"/>
      <c r="E370" s="1261"/>
      <c r="F370" s="1262"/>
      <c r="G370" s="1266" t="str">
        <f>IF(基本情報入力シート!M143="","",基本情報入力シート!M143)</f>
        <v/>
      </c>
      <c r="H370" s="1266" t="str">
        <f>IF(基本情報入力シート!R143="","",基本情報入力シート!R143)</f>
        <v/>
      </c>
      <c r="I370" s="1266" t="str">
        <f>IF(基本情報入力シート!W143="","",基本情報入力シート!W143)</f>
        <v/>
      </c>
      <c r="J370" s="1372" t="str">
        <f>IF(基本情報入力シート!X143="","",基本情報入力シート!X143)</f>
        <v/>
      </c>
      <c r="K370" s="1266" t="str">
        <f>IF(基本情報入力シート!Y143="","",基本情報入力シート!Y143)</f>
        <v/>
      </c>
      <c r="L370" s="1451" t="str">
        <f>IF(基本情報入力シート!AB143="","",基本情報入力シート!AB143)</f>
        <v/>
      </c>
      <c r="M370" s="1453" t="str">
        <f>IF(基本情報入力シート!AC143="","",基本情報入力シート!AC143)</f>
        <v/>
      </c>
      <c r="N370" s="647" t="str">
        <f>IF('別紙様式2-2（４・５月分）'!Q281="","",'別紙様式2-2（４・５月分）'!Q281)</f>
        <v/>
      </c>
      <c r="O370" s="1366" t="str">
        <f>IF(SUM('別紙様式2-2（４・５月分）'!R281:R283)=0,"",SUM('別紙様式2-2（４・５月分）'!R281:R283))</f>
        <v/>
      </c>
      <c r="P370" s="1380" t="str">
        <f>IFERROR(VLOOKUP('別紙様式2-2（４・５月分）'!AR281,【参考】数式用!$AT$5:$AU$22,2,FALSE),"")</f>
        <v/>
      </c>
      <c r="Q370" s="1381"/>
      <c r="R370" s="1382"/>
      <c r="S370" s="1392" t="str">
        <f>IFERROR(VLOOKUP(K370,【参考】数式用!$A$5:$AB$27,MATCH(P370,【参考】数式用!$B$4:$AB$4,0)+1,0),"")</f>
        <v/>
      </c>
      <c r="T370" s="1413" t="s">
        <v>2258</v>
      </c>
      <c r="U370" s="1562" t="str">
        <f>IF('別紙様式2-3（６月以降分）'!U370="","",'別紙様式2-3（６月以降分）'!U370)</f>
        <v/>
      </c>
      <c r="V370" s="1457" t="str">
        <f>IFERROR(VLOOKUP(K370,【参考】数式用!$A$5:$AB$27,MATCH(U370,【参考】数式用!$B$4:$AB$4,0)+1,0),"")</f>
        <v/>
      </c>
      <c r="W370" s="1350" t="s">
        <v>19</v>
      </c>
      <c r="X370" s="1534">
        <f>'別紙様式2-3（６月以降分）'!X370</f>
        <v>6</v>
      </c>
      <c r="Y370" s="1354" t="s">
        <v>10</v>
      </c>
      <c r="Z370" s="1534">
        <f>'別紙様式2-3（６月以降分）'!Z370</f>
        <v>6</v>
      </c>
      <c r="AA370" s="1354" t="s">
        <v>45</v>
      </c>
      <c r="AB370" s="1534">
        <f>'別紙様式2-3（６月以降分）'!AB370</f>
        <v>7</v>
      </c>
      <c r="AC370" s="1354" t="s">
        <v>10</v>
      </c>
      <c r="AD370" s="1534">
        <f>'別紙様式2-3（６月以降分）'!AD370</f>
        <v>3</v>
      </c>
      <c r="AE370" s="1354" t="s">
        <v>2172</v>
      </c>
      <c r="AF370" s="1354" t="s">
        <v>24</v>
      </c>
      <c r="AG370" s="1354">
        <f>IF(X370&gt;=1,(AB370*12+AD370)-(X370*12+Z370)+1,"")</f>
        <v>10</v>
      </c>
      <c r="AH370" s="1360" t="s">
        <v>38</v>
      </c>
      <c r="AI370" s="1481" t="str">
        <f>'別紙様式2-3（６月以降分）'!AI370</f>
        <v/>
      </c>
      <c r="AJ370" s="1542" t="str">
        <f>'別紙様式2-3（６月以降分）'!AJ370</f>
        <v/>
      </c>
      <c r="AK370" s="1538">
        <f>'別紙様式2-3（６月以降分）'!AK370</f>
        <v>0</v>
      </c>
      <c r="AL370" s="1540" t="str">
        <f>IF('別紙様式2-3（６月以降分）'!AL370="","",'別紙様式2-3（６月以降分）'!AL370)</f>
        <v/>
      </c>
      <c r="AM370" s="1571">
        <f>'別紙様式2-3（６月以降分）'!AM370</f>
        <v>0</v>
      </c>
      <c r="AN370" s="1573" t="str">
        <f>IF('別紙様式2-3（６月以降分）'!AN370="","",'別紙様式2-3（６月以降分）'!AN370)</f>
        <v/>
      </c>
      <c r="AO370" s="1403" t="str">
        <f>IF('別紙様式2-3（６月以降分）'!AO370="","",'別紙様式2-3（６月以降分）'!AO370)</f>
        <v/>
      </c>
      <c r="AP370" s="1502" t="str">
        <f>IF('別紙様式2-3（６月以降分）'!AP370="","",'別紙様式2-3（６月以降分）'!AP370)</f>
        <v/>
      </c>
      <c r="AQ370" s="1403" t="str">
        <f>IF('別紙様式2-3（６月以降分）'!AQ370="","",'別紙様式2-3（６月以降分）'!AQ370)</f>
        <v/>
      </c>
      <c r="AR370" s="1583" t="str">
        <f>IF('別紙様式2-3（６月以降分）'!AR370="","",'別紙様式2-3（６月以降分）'!AR370)</f>
        <v/>
      </c>
      <c r="AS370" s="1536" t="str">
        <f>IF('別紙様式2-3（６月以降分）'!AS370="","",'別紙様式2-3（６月以降分）'!AS370)</f>
        <v/>
      </c>
      <c r="AT370" s="667" t="str">
        <f t="shared" ref="AT370" si="437">IF(AV372="","",IF(V372&lt;V370,"！加算の要件上は問題ありませんが、令和６年度当初の新加算の加算率と比較して、移行後の加算率が下がる計画になっています。",""))</f>
        <v/>
      </c>
      <c r="AU370" s="674"/>
      <c r="AV370" s="1233"/>
      <c r="AW370" s="652" t="str">
        <f>IF('別紙様式2-2（４・５月分）'!O281="","",'別紙様式2-2（４・５月分）'!O281)</f>
        <v/>
      </c>
      <c r="AX370" s="1507" t="str">
        <f>IF(SUM('別紙様式2-2（４・５月分）'!P281:P283)=0,"",SUM('別紙様式2-2（４・５月分）'!P281:P283))</f>
        <v/>
      </c>
      <c r="AY370" s="1589" t="str">
        <f>IFERROR(VLOOKUP(K370,【参考】数式用!$AJ$2:$AK$24,2,FALSE),"")</f>
        <v/>
      </c>
      <c r="AZ370" s="584"/>
      <c r="BE370" s="428"/>
      <c r="BF370" s="1493" t="str">
        <f>G370</f>
        <v/>
      </c>
      <c r="BG370" s="1493"/>
      <c r="BH370" s="1493"/>
    </row>
    <row r="371" spans="1:60" ht="15" customHeight="1">
      <c r="A371" s="1226"/>
      <c r="B371" s="1272"/>
      <c r="C371" s="1261"/>
      <c r="D371" s="1261"/>
      <c r="E371" s="1261"/>
      <c r="F371" s="1262"/>
      <c r="G371" s="1266"/>
      <c r="H371" s="1266"/>
      <c r="I371" s="1266"/>
      <c r="J371" s="1372"/>
      <c r="K371" s="1266"/>
      <c r="L371" s="1451"/>
      <c r="M371" s="1453"/>
      <c r="N371" s="1370" t="str">
        <f>IF('別紙様式2-2（４・５月分）'!Q282="","",'別紙様式2-2（４・５月分）'!Q282)</f>
        <v/>
      </c>
      <c r="O371" s="1367"/>
      <c r="P371" s="1383"/>
      <c r="Q371" s="1384"/>
      <c r="R371" s="1385"/>
      <c r="S371" s="1393"/>
      <c r="T371" s="1414"/>
      <c r="U371" s="1563"/>
      <c r="V371" s="1458"/>
      <c r="W371" s="1351"/>
      <c r="X371" s="1535"/>
      <c r="Y371" s="1355"/>
      <c r="Z371" s="1535"/>
      <c r="AA371" s="1355"/>
      <c r="AB371" s="1535"/>
      <c r="AC371" s="1355"/>
      <c r="AD371" s="1535"/>
      <c r="AE371" s="1355"/>
      <c r="AF371" s="1355"/>
      <c r="AG371" s="1355"/>
      <c r="AH371" s="1361"/>
      <c r="AI371" s="1482"/>
      <c r="AJ371" s="1543"/>
      <c r="AK371" s="1539"/>
      <c r="AL371" s="1541"/>
      <c r="AM371" s="1572"/>
      <c r="AN371" s="1574"/>
      <c r="AO371" s="1404"/>
      <c r="AP371" s="1533"/>
      <c r="AQ371" s="1404"/>
      <c r="AR371" s="1584"/>
      <c r="AS371" s="1537"/>
      <c r="AT371" s="1532" t="str">
        <f t="shared" ref="AT371" si="438">IF(AV372="","",IF(OR(AB372="",AB372&lt;&gt;7,AD372="",AD372&lt;&gt;3),"！算定期間の終わりが令和７年３月になっていません。年度内の廃止予定等がなければ、算定対象月を令和７年３月にしてください。",""))</f>
        <v/>
      </c>
      <c r="AU371" s="674"/>
      <c r="AV371" s="1493"/>
      <c r="AW371" s="1518" t="str">
        <f>IF('別紙様式2-2（４・５月分）'!O282="","",'別紙様式2-2（４・５月分）'!O282)</f>
        <v/>
      </c>
      <c r="AX371" s="1507"/>
      <c r="AY371" s="1589"/>
      <c r="AZ371" s="521"/>
      <c r="BE371" s="428"/>
      <c r="BF371" s="1493" t="str">
        <f>G370</f>
        <v/>
      </c>
      <c r="BG371" s="1493"/>
      <c r="BH371" s="1493"/>
    </row>
    <row r="372" spans="1:60" ht="15" customHeight="1">
      <c r="A372" s="1240"/>
      <c r="B372" s="1272"/>
      <c r="C372" s="1261"/>
      <c r="D372" s="1261"/>
      <c r="E372" s="1261"/>
      <c r="F372" s="1262"/>
      <c r="G372" s="1266"/>
      <c r="H372" s="1266"/>
      <c r="I372" s="1266"/>
      <c r="J372" s="1372"/>
      <c r="K372" s="1266"/>
      <c r="L372" s="1451"/>
      <c r="M372" s="1453"/>
      <c r="N372" s="1371"/>
      <c r="O372" s="1368"/>
      <c r="P372" s="1390" t="s">
        <v>2179</v>
      </c>
      <c r="Q372" s="1504" t="str">
        <f>IFERROR(VLOOKUP('別紙様式2-2（４・５月分）'!AR281,【参考】数式用!$AT$5:$AV$22,3,FALSE),"")</f>
        <v/>
      </c>
      <c r="R372" s="1388" t="s">
        <v>2190</v>
      </c>
      <c r="S372" s="1394" t="str">
        <f>IFERROR(VLOOKUP(K370,【参考】数式用!$A$5:$AB$27,MATCH(Q372,【参考】数式用!$B$4:$AB$4,0)+1,0),"")</f>
        <v/>
      </c>
      <c r="T372" s="1459" t="s">
        <v>2267</v>
      </c>
      <c r="U372" s="1569"/>
      <c r="V372" s="1463" t="str">
        <f>IFERROR(VLOOKUP(K370,【参考】数式用!$A$5:$AB$27,MATCH(U372,【参考】数式用!$B$4:$AB$4,0)+1,0),"")</f>
        <v/>
      </c>
      <c r="W372" s="1465" t="s">
        <v>19</v>
      </c>
      <c r="X372" s="1564"/>
      <c r="Y372" s="1407" t="s">
        <v>10</v>
      </c>
      <c r="Z372" s="1564"/>
      <c r="AA372" s="1407" t="s">
        <v>45</v>
      </c>
      <c r="AB372" s="1564"/>
      <c r="AC372" s="1407" t="s">
        <v>10</v>
      </c>
      <c r="AD372" s="1564"/>
      <c r="AE372" s="1407" t="s">
        <v>2172</v>
      </c>
      <c r="AF372" s="1407" t="s">
        <v>24</v>
      </c>
      <c r="AG372" s="1407" t="str">
        <f>IF(X372&gt;=1,(AB372*12+AD372)-(X372*12+Z372)+1,"")</f>
        <v/>
      </c>
      <c r="AH372" s="1409" t="s">
        <v>38</v>
      </c>
      <c r="AI372" s="1411" t="str">
        <f t="shared" ref="AI372" si="439">IFERROR(ROUNDDOWN(ROUND(L370*V372,0)*M370,0)*AG372,"")</f>
        <v/>
      </c>
      <c r="AJ372" s="1577" t="str">
        <f>IFERROR(ROUNDDOWN(ROUND((L370*(V372-AX370)),0)*M370,0)*AG372,"")</f>
        <v/>
      </c>
      <c r="AK372" s="1494" t="str">
        <f>IFERROR(ROUNDDOWN(ROUNDDOWN(ROUND(L370*VLOOKUP(K370,【参考】数式用!$A$5:$AB$27,MATCH("新加算Ⅳ",【参考】数式用!$B$4:$AB$4,0)+1,0),0)*M370,0)*AG372*0.5,0),"")</f>
        <v/>
      </c>
      <c r="AL372" s="1579"/>
      <c r="AM372" s="1585" t="str">
        <f>IFERROR(IF('別紙様式2-2（４・５月分）'!Q283="ベア加算","", IF(OR(U372="新加算Ⅰ",U372="新加算Ⅱ",U372="新加算Ⅲ",U372="新加算Ⅳ"),ROUNDDOWN(ROUND(L370*VLOOKUP(K370,【参考】数式用!$A$5:$I$27,MATCH("ベア加算",【参考】数式用!$B$4:$I$4,0)+1,0),0)*M370,0)*AG372,"")),"")</f>
        <v/>
      </c>
      <c r="AN372" s="1548"/>
      <c r="AO372" s="1554"/>
      <c r="AP372" s="1552"/>
      <c r="AQ372" s="1554"/>
      <c r="AR372" s="1556"/>
      <c r="AS372" s="1558"/>
      <c r="AT372" s="1532"/>
      <c r="AU372" s="542"/>
      <c r="AV372" s="1493" t="str">
        <f t="shared" ref="AV372" si="440">IF(OR(AB370&lt;&gt;7,AD370&lt;&gt;3),"V列に色付け","")</f>
        <v/>
      </c>
      <c r="AW372" s="1518"/>
      <c r="AX372" s="1507"/>
      <c r="AY372" s="671"/>
      <c r="AZ372" s="1321" t="str">
        <f>IF(AM372&lt;&gt;"",IF(AN372="○","入力済","未入力"),"")</f>
        <v/>
      </c>
      <c r="BA372" s="1321"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321" t="str">
        <f>IF(OR(U372="新加算Ⅴ（７）",U372="新加算Ⅴ（９）",U372="新加算Ⅴ（10）",U372="新加算Ⅴ（12）",U372="新加算Ⅴ（13）",U372="新加算Ⅴ（14）"),IF(OR(AP372="○",AP372="令和６年度中に満たす"),"入力済","未入力"),"")</f>
        <v/>
      </c>
      <c r="BC372" s="1321" t="str">
        <f>IF(OR(U372="新加算Ⅰ",U372="新加算Ⅱ",U372="新加算Ⅲ",U372="新加算Ⅴ（１）",U372="新加算Ⅴ（３）",U372="新加算Ⅴ（８）"),IF(OR(AQ372="○",AQ372="令和６年度中に満たす"),"入力済","未入力"),"")</f>
        <v/>
      </c>
      <c r="BD372" s="1588"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493" t="str">
        <f>IF(OR(U372="新加算Ⅰ",U372="新加算Ⅴ（１）",U372="新加算Ⅴ（２）",U372="新加算Ⅴ（５）",U372="新加算Ⅴ（７）",U372="新加算Ⅴ（10）"),IF(AS372="","未入力","入力済"),"")</f>
        <v/>
      </c>
      <c r="BF372" s="1493" t="str">
        <f>G370</f>
        <v/>
      </c>
      <c r="BG372" s="1493"/>
      <c r="BH372" s="1493"/>
    </row>
    <row r="373" spans="1:60" ht="30" customHeight="1" thickBot="1">
      <c r="A373" s="1227"/>
      <c r="B373" s="1376"/>
      <c r="C373" s="1377"/>
      <c r="D373" s="1377"/>
      <c r="E373" s="1377"/>
      <c r="F373" s="1378"/>
      <c r="G373" s="1267"/>
      <c r="H373" s="1267"/>
      <c r="I373" s="1267"/>
      <c r="J373" s="1373"/>
      <c r="K373" s="1267"/>
      <c r="L373" s="1452"/>
      <c r="M373" s="1454"/>
      <c r="N373" s="650" t="str">
        <f>IF('別紙様式2-2（４・５月分）'!Q283="","",'別紙様式2-2（４・５月分）'!Q283)</f>
        <v/>
      </c>
      <c r="O373" s="1369"/>
      <c r="P373" s="1391"/>
      <c r="Q373" s="1505"/>
      <c r="R373" s="1389"/>
      <c r="S373" s="1395"/>
      <c r="T373" s="1460"/>
      <c r="U373" s="1570"/>
      <c r="V373" s="1464"/>
      <c r="W373" s="1466"/>
      <c r="X373" s="1565"/>
      <c r="Y373" s="1408"/>
      <c r="Z373" s="1565"/>
      <c r="AA373" s="1408"/>
      <c r="AB373" s="1565"/>
      <c r="AC373" s="1408"/>
      <c r="AD373" s="1565"/>
      <c r="AE373" s="1408"/>
      <c r="AF373" s="1408"/>
      <c r="AG373" s="1408"/>
      <c r="AH373" s="1410"/>
      <c r="AI373" s="1412"/>
      <c r="AJ373" s="1578"/>
      <c r="AK373" s="1495"/>
      <c r="AL373" s="1580"/>
      <c r="AM373" s="1586"/>
      <c r="AN373" s="1549"/>
      <c r="AO373" s="1555"/>
      <c r="AP373" s="1553"/>
      <c r="AQ373" s="1555"/>
      <c r="AR373" s="1557"/>
      <c r="AS373" s="1559"/>
      <c r="AT373" s="672" t="str">
        <f t="shared" ref="AT373" si="441">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42"/>
      <c r="AV373" s="1493"/>
      <c r="AW373" s="652" t="str">
        <f>IF('別紙様式2-2（４・５月分）'!O283="","",'別紙様式2-2（４・５月分）'!O283)</f>
        <v/>
      </c>
      <c r="AX373" s="1507"/>
      <c r="AY373" s="673"/>
      <c r="AZ373" s="1321" t="str">
        <f>IF(OR(U373="新加算Ⅰ",U373="新加算Ⅱ",U373="新加算Ⅲ",U373="新加算Ⅳ",U373="新加算Ⅴ（１）",U373="新加算Ⅴ（２）",U373="新加算Ⅴ（３）",U373="新加算ⅠⅤ（４）",U373="新加算Ⅴ（５）",U373="新加算Ⅴ（６）",U373="新加算Ⅴ（８）",U373="新加算Ⅴ（11）"),IF(AJ373="○","","未入力"),"")</f>
        <v/>
      </c>
      <c r="BA373" s="1321" t="str">
        <f>IF(OR(V373="新加算Ⅰ",V373="新加算Ⅱ",V373="新加算Ⅲ",V373="新加算Ⅳ",V373="新加算Ⅴ（１）",V373="新加算Ⅴ（２）",V373="新加算Ⅴ（３）",V373="新加算ⅠⅤ（４）",V373="新加算Ⅴ（５）",V373="新加算Ⅴ（６）",V373="新加算Ⅴ（８）",V373="新加算Ⅴ（11）"),IF(AK373="○","","未入力"),"")</f>
        <v/>
      </c>
      <c r="BB373" s="1321" t="str">
        <f>IF(OR(V373="新加算Ⅴ（７）",V373="新加算Ⅴ（９）",V373="新加算Ⅴ（10）",V373="新加算Ⅴ（12）",V373="新加算Ⅴ（13）",V373="新加算Ⅴ（14）"),IF(AL373="○","","未入力"),"")</f>
        <v/>
      </c>
      <c r="BC373" s="1321" t="str">
        <f>IF(OR(V373="新加算Ⅰ",V373="新加算Ⅱ",V373="新加算Ⅲ",V373="新加算Ⅴ（１）",V373="新加算Ⅴ（３）",V373="新加算Ⅴ（８）"),IF(AM373="○","","未入力"),"")</f>
        <v/>
      </c>
      <c r="BD373" s="1588"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493" t="str">
        <f>IF(AND(U373&lt;&gt;"（参考）令和７年度の移行予定",OR(V373="新加算Ⅰ",V373="新加算Ⅴ（１）",V373="新加算Ⅴ（２）",V373="新加算Ⅴ（５）",V373="新加算Ⅴ（７）",V373="新加算Ⅴ（10）")),IF(AO373="","未入力",IF(AO373="いずれも取得していない","要件を満たさない","")),"")</f>
        <v/>
      </c>
      <c r="BF373" s="1493" t="str">
        <f>G370</f>
        <v/>
      </c>
      <c r="BG373" s="1493"/>
      <c r="BH373" s="1493"/>
    </row>
    <row r="374" spans="1:60" ht="30" customHeight="1">
      <c r="A374" s="1225">
        <v>91</v>
      </c>
      <c r="B374" s="1272" t="str">
        <f>IF(基本情報入力シート!C144="","",基本情報入力シート!C144)</f>
        <v/>
      </c>
      <c r="C374" s="1261"/>
      <c r="D374" s="1261"/>
      <c r="E374" s="1261"/>
      <c r="F374" s="1262"/>
      <c r="G374" s="1266" t="str">
        <f>IF(基本情報入力シート!M144="","",基本情報入力シート!M144)</f>
        <v/>
      </c>
      <c r="H374" s="1266" t="str">
        <f>IF(基本情報入力シート!R144="","",基本情報入力シート!R144)</f>
        <v/>
      </c>
      <c r="I374" s="1266" t="str">
        <f>IF(基本情報入力シート!W144="","",基本情報入力シート!W144)</f>
        <v/>
      </c>
      <c r="J374" s="1372" t="str">
        <f>IF(基本情報入力シート!X144="","",基本情報入力シート!X144)</f>
        <v/>
      </c>
      <c r="K374" s="1266" t="str">
        <f>IF(基本情報入力シート!Y144="","",基本情報入力シート!Y144)</f>
        <v/>
      </c>
      <c r="L374" s="1451" t="str">
        <f>IF(基本情報入力シート!AB144="","",基本情報入力シート!AB144)</f>
        <v/>
      </c>
      <c r="M374" s="1453" t="str">
        <f>IF(基本情報入力シート!AC144="","",基本情報入力シート!AC144)</f>
        <v/>
      </c>
      <c r="N374" s="647" t="str">
        <f>IF('別紙様式2-2（４・５月分）'!Q284="","",'別紙様式2-2（４・５月分）'!Q284)</f>
        <v/>
      </c>
      <c r="O374" s="1366" t="str">
        <f>IF(SUM('別紙様式2-2（４・５月分）'!R284:R286)=0,"",SUM('別紙様式2-2（４・５月分）'!R284:R286))</f>
        <v/>
      </c>
      <c r="P374" s="1380" t="str">
        <f>IFERROR(VLOOKUP('別紙様式2-2（４・５月分）'!AR284,【参考】数式用!$AT$5:$AU$22,2,FALSE),"")</f>
        <v/>
      </c>
      <c r="Q374" s="1381"/>
      <c r="R374" s="1382"/>
      <c r="S374" s="1392" t="str">
        <f>IFERROR(VLOOKUP(K374,【参考】数式用!$A$5:$AB$27,MATCH(P374,【参考】数式用!$B$4:$AB$4,0)+1,0),"")</f>
        <v/>
      </c>
      <c r="T374" s="1413" t="s">
        <v>2258</v>
      </c>
      <c r="U374" s="1562" t="str">
        <f>IF('別紙様式2-3（６月以降分）'!U374="","",'別紙様式2-3（６月以降分）'!U374)</f>
        <v/>
      </c>
      <c r="V374" s="1457" t="str">
        <f>IFERROR(VLOOKUP(K374,【参考】数式用!$A$5:$AB$27,MATCH(U374,【参考】数式用!$B$4:$AB$4,0)+1,0),"")</f>
        <v/>
      </c>
      <c r="W374" s="1350" t="s">
        <v>19</v>
      </c>
      <c r="X374" s="1534">
        <f>'別紙様式2-3（６月以降分）'!X374</f>
        <v>6</v>
      </c>
      <c r="Y374" s="1354" t="s">
        <v>10</v>
      </c>
      <c r="Z374" s="1534">
        <f>'別紙様式2-3（６月以降分）'!Z374</f>
        <v>6</v>
      </c>
      <c r="AA374" s="1354" t="s">
        <v>45</v>
      </c>
      <c r="AB374" s="1534">
        <f>'別紙様式2-3（６月以降分）'!AB374</f>
        <v>7</v>
      </c>
      <c r="AC374" s="1354" t="s">
        <v>10</v>
      </c>
      <c r="AD374" s="1534">
        <f>'別紙様式2-3（６月以降分）'!AD374</f>
        <v>3</v>
      </c>
      <c r="AE374" s="1354" t="s">
        <v>2172</v>
      </c>
      <c r="AF374" s="1354" t="s">
        <v>24</v>
      </c>
      <c r="AG374" s="1354">
        <f>IF(X374&gt;=1,(AB374*12+AD374)-(X374*12+Z374)+1,"")</f>
        <v>10</v>
      </c>
      <c r="AH374" s="1360" t="s">
        <v>38</v>
      </c>
      <c r="AI374" s="1481" t="str">
        <f>'別紙様式2-3（６月以降分）'!AI374</f>
        <v/>
      </c>
      <c r="AJ374" s="1542" t="str">
        <f>'別紙様式2-3（６月以降分）'!AJ374</f>
        <v/>
      </c>
      <c r="AK374" s="1538">
        <f>'別紙様式2-3（６月以降分）'!AK374</f>
        <v>0</v>
      </c>
      <c r="AL374" s="1540" t="str">
        <f>IF('別紙様式2-3（６月以降分）'!AL374="","",'別紙様式2-3（６月以降分）'!AL374)</f>
        <v/>
      </c>
      <c r="AM374" s="1571">
        <f>'別紙様式2-3（６月以降分）'!AM374</f>
        <v>0</v>
      </c>
      <c r="AN374" s="1573" t="str">
        <f>IF('別紙様式2-3（６月以降分）'!AN374="","",'別紙様式2-3（６月以降分）'!AN374)</f>
        <v/>
      </c>
      <c r="AO374" s="1403" t="str">
        <f>IF('別紙様式2-3（６月以降分）'!AO374="","",'別紙様式2-3（６月以降分）'!AO374)</f>
        <v/>
      </c>
      <c r="AP374" s="1502" t="str">
        <f>IF('別紙様式2-3（６月以降分）'!AP374="","",'別紙様式2-3（６月以降分）'!AP374)</f>
        <v/>
      </c>
      <c r="AQ374" s="1403" t="str">
        <f>IF('別紙様式2-3（６月以降分）'!AQ374="","",'別紙様式2-3（６月以降分）'!AQ374)</f>
        <v/>
      </c>
      <c r="AR374" s="1583" t="str">
        <f>IF('別紙様式2-3（６月以降分）'!AR374="","",'別紙様式2-3（６月以降分）'!AR374)</f>
        <v/>
      </c>
      <c r="AS374" s="1536" t="str">
        <f>IF('別紙様式2-3（６月以降分）'!AS374="","",'別紙様式2-3（６月以降分）'!AS374)</f>
        <v/>
      </c>
      <c r="AT374" s="667" t="str">
        <f t="shared" ref="AT374" si="442">IF(AV376="","",IF(V376&lt;V374,"！加算の要件上は問題ありませんが、令和６年度当初の新加算の加算率と比較して、移行後の加算率が下がる計画になっています。",""))</f>
        <v/>
      </c>
      <c r="AU374" s="674"/>
      <c r="AV374" s="1233"/>
      <c r="AW374" s="652" t="str">
        <f>IF('別紙様式2-2（４・５月分）'!O284="","",'別紙様式2-2（４・５月分）'!O284)</f>
        <v/>
      </c>
      <c r="AX374" s="1507" t="str">
        <f>IF(SUM('別紙様式2-2（４・５月分）'!P284:P286)=0,"",SUM('別紙様式2-2（４・５月分）'!P284:P286))</f>
        <v/>
      </c>
      <c r="AY374" s="1590" t="str">
        <f>IFERROR(VLOOKUP(K374,【参考】数式用!$AJ$2:$AK$24,2,FALSE),"")</f>
        <v/>
      </c>
      <c r="AZ374" s="584"/>
      <c r="BE374" s="428"/>
      <c r="BF374" s="1493" t="str">
        <f>G374</f>
        <v/>
      </c>
      <c r="BG374" s="1493"/>
      <c r="BH374" s="1493"/>
    </row>
    <row r="375" spans="1:60" ht="15" customHeight="1">
      <c r="A375" s="1226"/>
      <c r="B375" s="1272"/>
      <c r="C375" s="1261"/>
      <c r="D375" s="1261"/>
      <c r="E375" s="1261"/>
      <c r="F375" s="1262"/>
      <c r="G375" s="1266"/>
      <c r="H375" s="1266"/>
      <c r="I375" s="1266"/>
      <c r="J375" s="1372"/>
      <c r="K375" s="1266"/>
      <c r="L375" s="1451"/>
      <c r="M375" s="1453"/>
      <c r="N375" s="1370" t="str">
        <f>IF('別紙様式2-2（４・５月分）'!Q285="","",'別紙様式2-2（４・５月分）'!Q285)</f>
        <v/>
      </c>
      <c r="O375" s="1367"/>
      <c r="P375" s="1383"/>
      <c r="Q375" s="1384"/>
      <c r="R375" s="1385"/>
      <c r="S375" s="1393"/>
      <c r="T375" s="1414"/>
      <c r="U375" s="1563"/>
      <c r="V375" s="1458"/>
      <c r="W375" s="1351"/>
      <c r="X375" s="1535"/>
      <c r="Y375" s="1355"/>
      <c r="Z375" s="1535"/>
      <c r="AA375" s="1355"/>
      <c r="AB375" s="1535"/>
      <c r="AC375" s="1355"/>
      <c r="AD375" s="1535"/>
      <c r="AE375" s="1355"/>
      <c r="AF375" s="1355"/>
      <c r="AG375" s="1355"/>
      <c r="AH375" s="1361"/>
      <c r="AI375" s="1482"/>
      <c r="AJ375" s="1543"/>
      <c r="AK375" s="1539"/>
      <c r="AL375" s="1541"/>
      <c r="AM375" s="1572"/>
      <c r="AN375" s="1574"/>
      <c r="AO375" s="1404"/>
      <c r="AP375" s="1533"/>
      <c r="AQ375" s="1404"/>
      <c r="AR375" s="1584"/>
      <c r="AS375" s="1537"/>
      <c r="AT375" s="1532" t="str">
        <f t="shared" ref="AT375" si="443">IF(AV376="","",IF(OR(AB376="",AB376&lt;&gt;7,AD376="",AD376&lt;&gt;3),"！算定期間の終わりが令和７年３月になっていません。年度内の廃止予定等がなければ、算定対象月を令和７年３月にしてください。",""))</f>
        <v/>
      </c>
      <c r="AU375" s="674"/>
      <c r="AV375" s="1493"/>
      <c r="AW375" s="1518" t="str">
        <f>IF('別紙様式2-2（４・５月分）'!O285="","",'別紙様式2-2（４・５月分）'!O285)</f>
        <v/>
      </c>
      <c r="AX375" s="1507"/>
      <c r="AY375" s="1589"/>
      <c r="AZ375" s="521"/>
      <c r="BE375" s="428"/>
      <c r="BF375" s="1493" t="str">
        <f>G374</f>
        <v/>
      </c>
      <c r="BG375" s="1493"/>
      <c r="BH375" s="1493"/>
    </row>
    <row r="376" spans="1:60" ht="15" customHeight="1">
      <c r="A376" s="1240"/>
      <c r="B376" s="1272"/>
      <c r="C376" s="1261"/>
      <c r="D376" s="1261"/>
      <c r="E376" s="1261"/>
      <c r="F376" s="1262"/>
      <c r="G376" s="1266"/>
      <c r="H376" s="1266"/>
      <c r="I376" s="1266"/>
      <c r="J376" s="1372"/>
      <c r="K376" s="1266"/>
      <c r="L376" s="1451"/>
      <c r="M376" s="1453"/>
      <c r="N376" s="1371"/>
      <c r="O376" s="1368"/>
      <c r="P376" s="1390" t="s">
        <v>2179</v>
      </c>
      <c r="Q376" s="1504" t="str">
        <f>IFERROR(VLOOKUP('別紙様式2-2（４・５月分）'!AR284,【参考】数式用!$AT$5:$AV$22,3,FALSE),"")</f>
        <v/>
      </c>
      <c r="R376" s="1388" t="s">
        <v>2190</v>
      </c>
      <c r="S376" s="1394" t="str">
        <f>IFERROR(VLOOKUP(K374,【参考】数式用!$A$5:$AB$27,MATCH(Q376,【参考】数式用!$B$4:$AB$4,0)+1,0),"")</f>
        <v/>
      </c>
      <c r="T376" s="1459" t="s">
        <v>2267</v>
      </c>
      <c r="U376" s="1569"/>
      <c r="V376" s="1463" t="str">
        <f>IFERROR(VLOOKUP(K374,【参考】数式用!$A$5:$AB$27,MATCH(U376,【参考】数式用!$B$4:$AB$4,0)+1,0),"")</f>
        <v/>
      </c>
      <c r="W376" s="1465" t="s">
        <v>19</v>
      </c>
      <c r="X376" s="1564"/>
      <c r="Y376" s="1407" t="s">
        <v>10</v>
      </c>
      <c r="Z376" s="1564"/>
      <c r="AA376" s="1407" t="s">
        <v>45</v>
      </c>
      <c r="AB376" s="1564"/>
      <c r="AC376" s="1407" t="s">
        <v>10</v>
      </c>
      <c r="AD376" s="1564"/>
      <c r="AE376" s="1407" t="s">
        <v>2172</v>
      </c>
      <c r="AF376" s="1407" t="s">
        <v>24</v>
      </c>
      <c r="AG376" s="1407" t="str">
        <f>IF(X376&gt;=1,(AB376*12+AD376)-(X376*12+Z376)+1,"")</f>
        <v/>
      </c>
      <c r="AH376" s="1409" t="s">
        <v>38</v>
      </c>
      <c r="AI376" s="1411" t="str">
        <f t="shared" ref="AI376" si="444">IFERROR(ROUNDDOWN(ROUND(L374*V376,0)*M374,0)*AG376,"")</f>
        <v/>
      </c>
      <c r="AJ376" s="1577" t="str">
        <f>IFERROR(ROUNDDOWN(ROUND((L374*(V376-AX374)),0)*M374,0)*AG376,"")</f>
        <v/>
      </c>
      <c r="AK376" s="1494" t="str">
        <f>IFERROR(ROUNDDOWN(ROUNDDOWN(ROUND(L374*VLOOKUP(K374,【参考】数式用!$A$5:$AB$27,MATCH("新加算Ⅳ",【参考】数式用!$B$4:$AB$4,0)+1,0),0)*M374,0)*AG376*0.5,0),"")</f>
        <v/>
      </c>
      <c r="AL376" s="1579"/>
      <c r="AM376" s="1585" t="str">
        <f>IFERROR(IF('別紙様式2-2（４・５月分）'!Q286="ベア加算","", IF(OR(U376="新加算Ⅰ",U376="新加算Ⅱ",U376="新加算Ⅲ",U376="新加算Ⅳ"),ROUNDDOWN(ROUND(L374*VLOOKUP(K374,【参考】数式用!$A$5:$I$27,MATCH("ベア加算",【参考】数式用!$B$4:$I$4,0)+1,0),0)*M374,0)*AG376,"")),"")</f>
        <v/>
      </c>
      <c r="AN376" s="1548"/>
      <c r="AO376" s="1554"/>
      <c r="AP376" s="1552"/>
      <c r="AQ376" s="1554"/>
      <c r="AR376" s="1556"/>
      <c r="AS376" s="1558"/>
      <c r="AT376" s="1532"/>
      <c r="AU376" s="542"/>
      <c r="AV376" s="1493" t="str">
        <f t="shared" ref="AV376" si="445">IF(OR(AB374&lt;&gt;7,AD374&lt;&gt;3),"V列に色付け","")</f>
        <v/>
      </c>
      <c r="AW376" s="1518"/>
      <c r="AX376" s="1507"/>
      <c r="AY376" s="671"/>
      <c r="AZ376" s="1321" t="str">
        <f>IF(AM376&lt;&gt;"",IF(AN376="○","入力済","未入力"),"")</f>
        <v/>
      </c>
      <c r="BA376" s="1321"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321" t="str">
        <f>IF(OR(U376="新加算Ⅴ（７）",U376="新加算Ⅴ（９）",U376="新加算Ⅴ（10）",U376="新加算Ⅴ（12）",U376="新加算Ⅴ（13）",U376="新加算Ⅴ（14）"),IF(OR(AP376="○",AP376="令和６年度中に満たす"),"入力済","未入力"),"")</f>
        <v/>
      </c>
      <c r="BC376" s="1321" t="str">
        <f>IF(OR(U376="新加算Ⅰ",U376="新加算Ⅱ",U376="新加算Ⅲ",U376="新加算Ⅴ（１）",U376="新加算Ⅴ（３）",U376="新加算Ⅴ（８）"),IF(OR(AQ376="○",AQ376="令和６年度中に満たす"),"入力済","未入力"),"")</f>
        <v/>
      </c>
      <c r="BD376" s="1588"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493" t="str">
        <f>IF(OR(U376="新加算Ⅰ",U376="新加算Ⅴ（１）",U376="新加算Ⅴ（２）",U376="新加算Ⅴ（５）",U376="新加算Ⅴ（７）",U376="新加算Ⅴ（10）"),IF(AS376="","未入力","入力済"),"")</f>
        <v/>
      </c>
      <c r="BF376" s="1493" t="str">
        <f>G374</f>
        <v/>
      </c>
      <c r="BG376" s="1493"/>
      <c r="BH376" s="1493"/>
    </row>
    <row r="377" spans="1:60" ht="30" customHeight="1" thickBot="1">
      <c r="A377" s="1227"/>
      <c r="B377" s="1376"/>
      <c r="C377" s="1377"/>
      <c r="D377" s="1377"/>
      <c r="E377" s="1377"/>
      <c r="F377" s="1378"/>
      <c r="G377" s="1267"/>
      <c r="H377" s="1267"/>
      <c r="I377" s="1267"/>
      <c r="J377" s="1373"/>
      <c r="K377" s="1267"/>
      <c r="L377" s="1452"/>
      <c r="M377" s="1454"/>
      <c r="N377" s="650" t="str">
        <f>IF('別紙様式2-2（４・５月分）'!Q286="","",'別紙様式2-2（４・５月分）'!Q286)</f>
        <v/>
      </c>
      <c r="O377" s="1369"/>
      <c r="P377" s="1391"/>
      <c r="Q377" s="1505"/>
      <c r="R377" s="1389"/>
      <c r="S377" s="1395"/>
      <c r="T377" s="1460"/>
      <c r="U377" s="1570"/>
      <c r="V377" s="1464"/>
      <c r="W377" s="1466"/>
      <c r="X377" s="1565"/>
      <c r="Y377" s="1408"/>
      <c r="Z377" s="1565"/>
      <c r="AA377" s="1408"/>
      <c r="AB377" s="1565"/>
      <c r="AC377" s="1408"/>
      <c r="AD377" s="1565"/>
      <c r="AE377" s="1408"/>
      <c r="AF377" s="1408"/>
      <c r="AG377" s="1408"/>
      <c r="AH377" s="1410"/>
      <c r="AI377" s="1412"/>
      <c r="AJ377" s="1578"/>
      <c r="AK377" s="1495"/>
      <c r="AL377" s="1580"/>
      <c r="AM377" s="1586"/>
      <c r="AN377" s="1549"/>
      <c r="AO377" s="1555"/>
      <c r="AP377" s="1553"/>
      <c r="AQ377" s="1555"/>
      <c r="AR377" s="1557"/>
      <c r="AS377" s="1559"/>
      <c r="AT377" s="672" t="str">
        <f t="shared" ref="AT377" si="44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42"/>
      <c r="AV377" s="1493"/>
      <c r="AW377" s="652" t="str">
        <f>IF('別紙様式2-2（４・５月分）'!O286="","",'別紙様式2-2（４・５月分）'!O286)</f>
        <v/>
      </c>
      <c r="AX377" s="1507"/>
      <c r="AY377" s="673"/>
      <c r="AZ377" s="1321" t="str">
        <f>IF(OR(U377="新加算Ⅰ",U377="新加算Ⅱ",U377="新加算Ⅲ",U377="新加算Ⅳ",U377="新加算Ⅴ（１）",U377="新加算Ⅴ（２）",U377="新加算Ⅴ（３）",U377="新加算ⅠⅤ（４）",U377="新加算Ⅴ（５）",U377="新加算Ⅴ（６）",U377="新加算Ⅴ（８）",U377="新加算Ⅴ（11）"),IF(AJ377="○","","未入力"),"")</f>
        <v/>
      </c>
      <c r="BA377" s="1321" t="str">
        <f>IF(OR(V377="新加算Ⅰ",V377="新加算Ⅱ",V377="新加算Ⅲ",V377="新加算Ⅳ",V377="新加算Ⅴ（１）",V377="新加算Ⅴ（２）",V377="新加算Ⅴ（３）",V377="新加算ⅠⅤ（４）",V377="新加算Ⅴ（５）",V377="新加算Ⅴ（６）",V377="新加算Ⅴ（８）",V377="新加算Ⅴ（11）"),IF(AK377="○","","未入力"),"")</f>
        <v/>
      </c>
      <c r="BB377" s="1321" t="str">
        <f>IF(OR(V377="新加算Ⅴ（７）",V377="新加算Ⅴ（９）",V377="新加算Ⅴ（10）",V377="新加算Ⅴ（12）",V377="新加算Ⅴ（13）",V377="新加算Ⅴ（14）"),IF(AL377="○","","未入力"),"")</f>
        <v/>
      </c>
      <c r="BC377" s="1321" t="str">
        <f>IF(OR(V377="新加算Ⅰ",V377="新加算Ⅱ",V377="新加算Ⅲ",V377="新加算Ⅴ（１）",V377="新加算Ⅴ（３）",V377="新加算Ⅴ（８）"),IF(AM377="○","","未入力"),"")</f>
        <v/>
      </c>
      <c r="BD377" s="1588"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493" t="str">
        <f>IF(AND(U377&lt;&gt;"（参考）令和７年度の移行予定",OR(V377="新加算Ⅰ",V377="新加算Ⅴ（１）",V377="新加算Ⅴ（２）",V377="新加算Ⅴ（５）",V377="新加算Ⅴ（７）",V377="新加算Ⅴ（10）")),IF(AO377="","未入力",IF(AO377="いずれも取得していない","要件を満たさない","")),"")</f>
        <v/>
      </c>
      <c r="BF377" s="1493" t="str">
        <f>G374</f>
        <v/>
      </c>
      <c r="BG377" s="1493"/>
      <c r="BH377" s="1493"/>
    </row>
    <row r="378" spans="1:60" ht="30" customHeight="1">
      <c r="A378" s="1241">
        <v>92</v>
      </c>
      <c r="B378" s="1271" t="str">
        <f>IF(基本情報入力シート!C145="","",基本情報入力シート!C145)</f>
        <v/>
      </c>
      <c r="C378" s="1259"/>
      <c r="D378" s="1259"/>
      <c r="E378" s="1259"/>
      <c r="F378" s="1260"/>
      <c r="G378" s="1265" t="str">
        <f>IF(基本情報入力シート!M145="","",基本情報入力シート!M145)</f>
        <v/>
      </c>
      <c r="H378" s="1265" t="str">
        <f>IF(基本情報入力シート!R145="","",基本情報入力シート!R145)</f>
        <v/>
      </c>
      <c r="I378" s="1265" t="str">
        <f>IF(基本情報入力シート!W145="","",基本情報入力シート!W145)</f>
        <v/>
      </c>
      <c r="J378" s="1379" t="str">
        <f>IF(基本情報入力シート!X145="","",基本情報入力シート!X145)</f>
        <v/>
      </c>
      <c r="K378" s="1265" t="str">
        <f>IF(基本情報入力シート!Y145="","",基本情報入力シート!Y145)</f>
        <v/>
      </c>
      <c r="L378" s="1450" t="str">
        <f>IF(基本情報入力シート!AB145="","",基本情報入力シート!AB145)</f>
        <v/>
      </c>
      <c r="M378" s="1447" t="str">
        <f>IF(基本情報入力シート!AC145="","",基本情報入力シート!AC145)</f>
        <v/>
      </c>
      <c r="N378" s="647" t="str">
        <f>IF('別紙様式2-2（４・５月分）'!Q287="","",'別紙様式2-2（４・５月分）'!Q287)</f>
        <v/>
      </c>
      <c r="O378" s="1366" t="str">
        <f>IF(SUM('別紙様式2-2（４・５月分）'!R287:R289)=0,"",SUM('別紙様式2-2（４・５月分）'!R287:R289))</f>
        <v/>
      </c>
      <c r="P378" s="1380" t="str">
        <f>IFERROR(VLOOKUP('別紙様式2-2（４・５月分）'!AR287,【参考】数式用!$AT$5:$AU$22,2,FALSE),"")</f>
        <v/>
      </c>
      <c r="Q378" s="1381"/>
      <c r="R378" s="1382"/>
      <c r="S378" s="1392" t="str">
        <f>IFERROR(VLOOKUP(K378,【参考】数式用!$A$5:$AB$27,MATCH(P378,【参考】数式用!$B$4:$AB$4,0)+1,0),"")</f>
        <v/>
      </c>
      <c r="T378" s="1413" t="s">
        <v>2258</v>
      </c>
      <c r="U378" s="1562" t="str">
        <f>IF('別紙様式2-3（６月以降分）'!U378="","",'別紙様式2-3（６月以降分）'!U378)</f>
        <v/>
      </c>
      <c r="V378" s="1457" t="str">
        <f>IFERROR(VLOOKUP(K378,【参考】数式用!$A$5:$AB$27,MATCH(U378,【参考】数式用!$B$4:$AB$4,0)+1,0),"")</f>
        <v/>
      </c>
      <c r="W378" s="1350" t="s">
        <v>19</v>
      </c>
      <c r="X378" s="1534">
        <f>'別紙様式2-3（６月以降分）'!X378</f>
        <v>6</v>
      </c>
      <c r="Y378" s="1354" t="s">
        <v>10</v>
      </c>
      <c r="Z378" s="1534">
        <f>'別紙様式2-3（６月以降分）'!Z378</f>
        <v>6</v>
      </c>
      <c r="AA378" s="1354" t="s">
        <v>45</v>
      </c>
      <c r="AB378" s="1534">
        <f>'別紙様式2-3（６月以降分）'!AB378</f>
        <v>7</v>
      </c>
      <c r="AC378" s="1354" t="s">
        <v>10</v>
      </c>
      <c r="AD378" s="1534">
        <f>'別紙様式2-3（６月以降分）'!AD378</f>
        <v>3</v>
      </c>
      <c r="AE378" s="1354" t="s">
        <v>2172</v>
      </c>
      <c r="AF378" s="1354" t="s">
        <v>24</v>
      </c>
      <c r="AG378" s="1354">
        <f>IF(X378&gt;=1,(AB378*12+AD378)-(X378*12+Z378)+1,"")</f>
        <v>10</v>
      </c>
      <c r="AH378" s="1360" t="s">
        <v>38</v>
      </c>
      <c r="AI378" s="1481" t="str">
        <f>'別紙様式2-3（６月以降分）'!AI378</f>
        <v/>
      </c>
      <c r="AJ378" s="1542" t="str">
        <f>'別紙様式2-3（６月以降分）'!AJ378</f>
        <v/>
      </c>
      <c r="AK378" s="1538">
        <f>'別紙様式2-3（６月以降分）'!AK378</f>
        <v>0</v>
      </c>
      <c r="AL378" s="1540" t="str">
        <f>IF('別紙様式2-3（６月以降分）'!AL378="","",'別紙様式2-3（６月以降分）'!AL378)</f>
        <v/>
      </c>
      <c r="AM378" s="1571">
        <f>'別紙様式2-3（６月以降分）'!AM378</f>
        <v>0</v>
      </c>
      <c r="AN378" s="1573" t="str">
        <f>IF('別紙様式2-3（６月以降分）'!AN378="","",'別紙様式2-3（６月以降分）'!AN378)</f>
        <v/>
      </c>
      <c r="AO378" s="1403" t="str">
        <f>IF('別紙様式2-3（６月以降分）'!AO378="","",'別紙様式2-3（６月以降分）'!AO378)</f>
        <v/>
      </c>
      <c r="AP378" s="1502" t="str">
        <f>IF('別紙様式2-3（６月以降分）'!AP378="","",'別紙様式2-3（６月以降分）'!AP378)</f>
        <v/>
      </c>
      <c r="AQ378" s="1403" t="str">
        <f>IF('別紙様式2-3（６月以降分）'!AQ378="","",'別紙様式2-3（６月以降分）'!AQ378)</f>
        <v/>
      </c>
      <c r="AR378" s="1583" t="str">
        <f>IF('別紙様式2-3（６月以降分）'!AR378="","",'別紙様式2-3（６月以降分）'!AR378)</f>
        <v/>
      </c>
      <c r="AS378" s="1536" t="str">
        <f>IF('別紙様式2-3（６月以降分）'!AS378="","",'別紙様式2-3（６月以降分）'!AS378)</f>
        <v/>
      </c>
      <c r="AT378" s="667" t="str">
        <f t="shared" ref="AT378" si="447">IF(AV380="","",IF(V380&lt;V378,"！加算の要件上は問題ありませんが、令和６年度当初の新加算の加算率と比較して、移行後の加算率が下がる計画になっています。",""))</f>
        <v/>
      </c>
      <c r="AU378" s="674"/>
      <c r="AV378" s="1233"/>
      <c r="AW378" s="652" t="str">
        <f>IF('別紙様式2-2（４・５月分）'!O287="","",'別紙様式2-2（４・５月分）'!O287)</f>
        <v/>
      </c>
      <c r="AX378" s="1507" t="str">
        <f>IF(SUM('別紙様式2-2（４・５月分）'!P287:P289)=0,"",SUM('別紙様式2-2（４・５月分）'!P287:P289))</f>
        <v/>
      </c>
      <c r="AY378" s="1589" t="str">
        <f>IFERROR(VLOOKUP(K378,【参考】数式用!$AJ$2:$AK$24,2,FALSE),"")</f>
        <v/>
      </c>
      <c r="AZ378" s="584"/>
      <c r="BE378" s="428"/>
      <c r="BF378" s="1493" t="str">
        <f>G378</f>
        <v/>
      </c>
      <c r="BG378" s="1493"/>
      <c r="BH378" s="1493"/>
    </row>
    <row r="379" spans="1:60" ht="15" customHeight="1">
      <c r="A379" s="1226"/>
      <c r="B379" s="1272"/>
      <c r="C379" s="1261"/>
      <c r="D379" s="1261"/>
      <c r="E379" s="1261"/>
      <c r="F379" s="1262"/>
      <c r="G379" s="1266"/>
      <c r="H379" s="1266"/>
      <c r="I379" s="1266"/>
      <c r="J379" s="1372"/>
      <c r="K379" s="1266"/>
      <c r="L379" s="1451"/>
      <c r="M379" s="1448"/>
      <c r="N379" s="1370" t="str">
        <f>IF('別紙様式2-2（４・５月分）'!Q288="","",'別紙様式2-2（４・５月分）'!Q288)</f>
        <v/>
      </c>
      <c r="O379" s="1367"/>
      <c r="P379" s="1383"/>
      <c r="Q379" s="1384"/>
      <c r="R379" s="1385"/>
      <c r="S379" s="1393"/>
      <c r="T379" s="1414"/>
      <c r="U379" s="1563"/>
      <c r="V379" s="1458"/>
      <c r="W379" s="1351"/>
      <c r="X379" s="1535"/>
      <c r="Y379" s="1355"/>
      <c r="Z379" s="1535"/>
      <c r="AA379" s="1355"/>
      <c r="AB379" s="1535"/>
      <c r="AC379" s="1355"/>
      <c r="AD379" s="1535"/>
      <c r="AE379" s="1355"/>
      <c r="AF379" s="1355"/>
      <c r="AG379" s="1355"/>
      <c r="AH379" s="1361"/>
      <c r="AI379" s="1482"/>
      <c r="AJ379" s="1543"/>
      <c r="AK379" s="1539"/>
      <c r="AL379" s="1541"/>
      <c r="AM379" s="1572"/>
      <c r="AN379" s="1574"/>
      <c r="AO379" s="1404"/>
      <c r="AP379" s="1533"/>
      <c r="AQ379" s="1404"/>
      <c r="AR379" s="1584"/>
      <c r="AS379" s="1537"/>
      <c r="AT379" s="1532" t="str">
        <f t="shared" ref="AT379" si="448">IF(AV380="","",IF(OR(AB380="",AB380&lt;&gt;7,AD380="",AD380&lt;&gt;3),"！算定期間の終わりが令和７年３月になっていません。年度内の廃止予定等がなければ、算定対象月を令和７年３月にしてください。",""))</f>
        <v/>
      </c>
      <c r="AU379" s="674"/>
      <c r="AV379" s="1493"/>
      <c r="AW379" s="1518" t="str">
        <f>IF('別紙様式2-2（４・５月分）'!O288="","",'別紙様式2-2（４・５月分）'!O288)</f>
        <v/>
      </c>
      <c r="AX379" s="1507"/>
      <c r="AY379" s="1589"/>
      <c r="AZ379" s="521"/>
      <c r="BE379" s="428"/>
      <c r="BF379" s="1493" t="str">
        <f>G378</f>
        <v/>
      </c>
      <c r="BG379" s="1493"/>
      <c r="BH379" s="1493"/>
    </row>
    <row r="380" spans="1:60" ht="15" customHeight="1">
      <c r="A380" s="1240"/>
      <c r="B380" s="1272"/>
      <c r="C380" s="1261"/>
      <c r="D380" s="1261"/>
      <c r="E380" s="1261"/>
      <c r="F380" s="1262"/>
      <c r="G380" s="1266"/>
      <c r="H380" s="1266"/>
      <c r="I380" s="1266"/>
      <c r="J380" s="1372"/>
      <c r="K380" s="1266"/>
      <c r="L380" s="1451"/>
      <c r="M380" s="1448"/>
      <c r="N380" s="1371"/>
      <c r="O380" s="1368"/>
      <c r="P380" s="1390" t="s">
        <v>2179</v>
      </c>
      <c r="Q380" s="1504" t="str">
        <f>IFERROR(VLOOKUP('別紙様式2-2（４・５月分）'!AR287,【参考】数式用!$AT$5:$AV$22,3,FALSE),"")</f>
        <v/>
      </c>
      <c r="R380" s="1388" t="s">
        <v>2190</v>
      </c>
      <c r="S380" s="1396" t="str">
        <f>IFERROR(VLOOKUP(K378,【参考】数式用!$A$5:$AB$27,MATCH(Q380,【参考】数式用!$B$4:$AB$4,0)+1,0),"")</f>
        <v/>
      </c>
      <c r="T380" s="1459" t="s">
        <v>2267</v>
      </c>
      <c r="U380" s="1569"/>
      <c r="V380" s="1463" t="str">
        <f>IFERROR(VLOOKUP(K378,【参考】数式用!$A$5:$AB$27,MATCH(U380,【参考】数式用!$B$4:$AB$4,0)+1,0),"")</f>
        <v/>
      </c>
      <c r="W380" s="1465" t="s">
        <v>19</v>
      </c>
      <c r="X380" s="1564"/>
      <c r="Y380" s="1407" t="s">
        <v>10</v>
      </c>
      <c r="Z380" s="1564"/>
      <c r="AA380" s="1407" t="s">
        <v>45</v>
      </c>
      <c r="AB380" s="1564"/>
      <c r="AC380" s="1407" t="s">
        <v>10</v>
      </c>
      <c r="AD380" s="1564"/>
      <c r="AE380" s="1407" t="s">
        <v>2172</v>
      </c>
      <c r="AF380" s="1407" t="s">
        <v>24</v>
      </c>
      <c r="AG380" s="1407" t="str">
        <f>IF(X380&gt;=1,(AB380*12+AD380)-(X380*12+Z380)+1,"")</f>
        <v/>
      </c>
      <c r="AH380" s="1409" t="s">
        <v>38</v>
      </c>
      <c r="AI380" s="1411" t="str">
        <f t="shared" ref="AI380" si="449">IFERROR(ROUNDDOWN(ROUND(L378*V380,0)*M378,0)*AG380,"")</f>
        <v/>
      </c>
      <c r="AJ380" s="1577" t="str">
        <f>IFERROR(ROUNDDOWN(ROUND((L378*(V380-AX378)),0)*M378,0)*AG380,"")</f>
        <v/>
      </c>
      <c r="AK380" s="1494" t="str">
        <f>IFERROR(ROUNDDOWN(ROUNDDOWN(ROUND(L378*VLOOKUP(K378,【参考】数式用!$A$5:$AB$27,MATCH("新加算Ⅳ",【参考】数式用!$B$4:$AB$4,0)+1,0),0)*M378,0)*AG380*0.5,0),"")</f>
        <v/>
      </c>
      <c r="AL380" s="1579"/>
      <c r="AM380" s="1585" t="str">
        <f>IFERROR(IF('別紙様式2-2（４・５月分）'!Q289="ベア加算","", IF(OR(U380="新加算Ⅰ",U380="新加算Ⅱ",U380="新加算Ⅲ",U380="新加算Ⅳ"),ROUNDDOWN(ROUND(L378*VLOOKUP(K378,【参考】数式用!$A$5:$I$27,MATCH("ベア加算",【参考】数式用!$B$4:$I$4,0)+1,0),0)*M378,0)*AG380,"")),"")</f>
        <v/>
      </c>
      <c r="AN380" s="1548"/>
      <c r="AO380" s="1554"/>
      <c r="AP380" s="1552"/>
      <c r="AQ380" s="1554"/>
      <c r="AR380" s="1556"/>
      <c r="AS380" s="1558"/>
      <c r="AT380" s="1532"/>
      <c r="AU380" s="542"/>
      <c r="AV380" s="1493" t="str">
        <f t="shared" ref="AV380" si="450">IF(OR(AB378&lt;&gt;7,AD378&lt;&gt;3),"V列に色付け","")</f>
        <v/>
      </c>
      <c r="AW380" s="1518"/>
      <c r="AX380" s="1507"/>
      <c r="AY380" s="671"/>
      <c r="AZ380" s="1321" t="str">
        <f>IF(AM380&lt;&gt;"",IF(AN380="○","入力済","未入力"),"")</f>
        <v/>
      </c>
      <c r="BA380" s="1321"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321" t="str">
        <f>IF(OR(U380="新加算Ⅴ（７）",U380="新加算Ⅴ（９）",U380="新加算Ⅴ（10）",U380="新加算Ⅴ（12）",U380="新加算Ⅴ（13）",U380="新加算Ⅴ（14）"),IF(OR(AP380="○",AP380="令和６年度中に満たす"),"入力済","未入力"),"")</f>
        <v/>
      </c>
      <c r="BC380" s="1321" t="str">
        <f>IF(OR(U380="新加算Ⅰ",U380="新加算Ⅱ",U380="新加算Ⅲ",U380="新加算Ⅴ（１）",U380="新加算Ⅴ（３）",U380="新加算Ⅴ（８）"),IF(OR(AQ380="○",AQ380="令和６年度中に満たす"),"入力済","未入力"),"")</f>
        <v/>
      </c>
      <c r="BD380" s="1588"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493" t="str">
        <f>IF(OR(U380="新加算Ⅰ",U380="新加算Ⅴ（１）",U380="新加算Ⅴ（２）",U380="新加算Ⅴ（５）",U380="新加算Ⅴ（７）",U380="新加算Ⅴ（10）"),IF(AS380="","未入力","入力済"),"")</f>
        <v/>
      </c>
      <c r="BF380" s="1493" t="str">
        <f>G378</f>
        <v/>
      </c>
      <c r="BG380" s="1493"/>
      <c r="BH380" s="1493"/>
    </row>
    <row r="381" spans="1:60" ht="30" customHeight="1" thickBot="1">
      <c r="A381" s="1227"/>
      <c r="B381" s="1376"/>
      <c r="C381" s="1377"/>
      <c r="D381" s="1377"/>
      <c r="E381" s="1377"/>
      <c r="F381" s="1378"/>
      <c r="G381" s="1267"/>
      <c r="H381" s="1267"/>
      <c r="I381" s="1267"/>
      <c r="J381" s="1373"/>
      <c r="K381" s="1267"/>
      <c r="L381" s="1452"/>
      <c r="M381" s="1449"/>
      <c r="N381" s="650" t="str">
        <f>IF('別紙様式2-2（４・５月分）'!Q289="","",'別紙様式2-2（４・５月分）'!Q289)</f>
        <v/>
      </c>
      <c r="O381" s="1369"/>
      <c r="P381" s="1391"/>
      <c r="Q381" s="1505"/>
      <c r="R381" s="1389"/>
      <c r="S381" s="1395"/>
      <c r="T381" s="1460"/>
      <c r="U381" s="1570"/>
      <c r="V381" s="1464"/>
      <c r="W381" s="1466"/>
      <c r="X381" s="1565"/>
      <c r="Y381" s="1408"/>
      <c r="Z381" s="1565"/>
      <c r="AA381" s="1408"/>
      <c r="AB381" s="1565"/>
      <c r="AC381" s="1408"/>
      <c r="AD381" s="1565"/>
      <c r="AE381" s="1408"/>
      <c r="AF381" s="1408"/>
      <c r="AG381" s="1408"/>
      <c r="AH381" s="1410"/>
      <c r="AI381" s="1412"/>
      <c r="AJ381" s="1578"/>
      <c r="AK381" s="1495"/>
      <c r="AL381" s="1580"/>
      <c r="AM381" s="1586"/>
      <c r="AN381" s="1549"/>
      <c r="AO381" s="1555"/>
      <c r="AP381" s="1553"/>
      <c r="AQ381" s="1555"/>
      <c r="AR381" s="1557"/>
      <c r="AS381" s="1559"/>
      <c r="AT381" s="672" t="str">
        <f t="shared" ref="AT381" si="451">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42"/>
      <c r="AV381" s="1493"/>
      <c r="AW381" s="652" t="str">
        <f>IF('別紙様式2-2（４・５月分）'!O289="","",'別紙様式2-2（４・５月分）'!O289)</f>
        <v/>
      </c>
      <c r="AX381" s="1507"/>
      <c r="AY381" s="673"/>
      <c r="AZ381" s="1321" t="str">
        <f>IF(OR(U381="新加算Ⅰ",U381="新加算Ⅱ",U381="新加算Ⅲ",U381="新加算Ⅳ",U381="新加算Ⅴ（１）",U381="新加算Ⅴ（２）",U381="新加算Ⅴ（３）",U381="新加算ⅠⅤ（４）",U381="新加算Ⅴ（５）",U381="新加算Ⅴ（６）",U381="新加算Ⅴ（８）",U381="新加算Ⅴ（11）"),IF(AJ381="○","","未入力"),"")</f>
        <v/>
      </c>
      <c r="BA381" s="1321" t="str">
        <f>IF(OR(V381="新加算Ⅰ",V381="新加算Ⅱ",V381="新加算Ⅲ",V381="新加算Ⅳ",V381="新加算Ⅴ（１）",V381="新加算Ⅴ（２）",V381="新加算Ⅴ（３）",V381="新加算ⅠⅤ（４）",V381="新加算Ⅴ（５）",V381="新加算Ⅴ（６）",V381="新加算Ⅴ（８）",V381="新加算Ⅴ（11）"),IF(AK381="○","","未入力"),"")</f>
        <v/>
      </c>
      <c r="BB381" s="1321" t="str">
        <f>IF(OR(V381="新加算Ⅴ（７）",V381="新加算Ⅴ（９）",V381="新加算Ⅴ（10）",V381="新加算Ⅴ（12）",V381="新加算Ⅴ（13）",V381="新加算Ⅴ（14）"),IF(AL381="○","","未入力"),"")</f>
        <v/>
      </c>
      <c r="BC381" s="1321" t="str">
        <f>IF(OR(V381="新加算Ⅰ",V381="新加算Ⅱ",V381="新加算Ⅲ",V381="新加算Ⅴ（１）",V381="新加算Ⅴ（３）",V381="新加算Ⅴ（８）"),IF(AM381="○","","未入力"),"")</f>
        <v/>
      </c>
      <c r="BD381" s="1588"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493" t="str">
        <f>IF(AND(U381&lt;&gt;"（参考）令和７年度の移行予定",OR(V381="新加算Ⅰ",V381="新加算Ⅴ（１）",V381="新加算Ⅴ（２）",V381="新加算Ⅴ（５）",V381="新加算Ⅴ（７）",V381="新加算Ⅴ（10）")),IF(AO381="","未入力",IF(AO381="いずれも取得していない","要件を満たさない","")),"")</f>
        <v/>
      </c>
      <c r="BF381" s="1493" t="str">
        <f>G378</f>
        <v/>
      </c>
      <c r="BG381" s="1493"/>
      <c r="BH381" s="1493"/>
    </row>
    <row r="382" spans="1:60" ht="30" customHeight="1">
      <c r="A382" s="1225">
        <v>93</v>
      </c>
      <c r="B382" s="1272" t="str">
        <f>IF(基本情報入力シート!C146="","",基本情報入力シート!C146)</f>
        <v/>
      </c>
      <c r="C382" s="1261"/>
      <c r="D382" s="1261"/>
      <c r="E382" s="1261"/>
      <c r="F382" s="1262"/>
      <c r="G382" s="1266" t="str">
        <f>IF(基本情報入力シート!M146="","",基本情報入力シート!M146)</f>
        <v/>
      </c>
      <c r="H382" s="1266" t="str">
        <f>IF(基本情報入力シート!R146="","",基本情報入力シート!R146)</f>
        <v/>
      </c>
      <c r="I382" s="1266" t="str">
        <f>IF(基本情報入力シート!W146="","",基本情報入力シート!W146)</f>
        <v/>
      </c>
      <c r="J382" s="1372" t="str">
        <f>IF(基本情報入力シート!X146="","",基本情報入力シート!X146)</f>
        <v/>
      </c>
      <c r="K382" s="1266" t="str">
        <f>IF(基本情報入力シート!Y146="","",基本情報入力シート!Y146)</f>
        <v/>
      </c>
      <c r="L382" s="1451" t="str">
        <f>IF(基本情報入力シート!AB146="","",基本情報入力シート!AB146)</f>
        <v/>
      </c>
      <c r="M382" s="1453" t="str">
        <f>IF(基本情報入力シート!AC146="","",基本情報入力シート!AC146)</f>
        <v/>
      </c>
      <c r="N382" s="647" t="str">
        <f>IF('別紙様式2-2（４・５月分）'!Q290="","",'別紙様式2-2（４・５月分）'!Q290)</f>
        <v/>
      </c>
      <c r="O382" s="1366" t="str">
        <f>IF(SUM('別紙様式2-2（４・５月分）'!R290:R292)=0,"",SUM('別紙様式2-2（４・５月分）'!R290:R292))</f>
        <v/>
      </c>
      <c r="P382" s="1380" t="str">
        <f>IFERROR(VLOOKUP('別紙様式2-2（４・５月分）'!AR290,【参考】数式用!$AT$5:$AU$22,2,FALSE),"")</f>
        <v/>
      </c>
      <c r="Q382" s="1381"/>
      <c r="R382" s="1382"/>
      <c r="S382" s="1392" t="str">
        <f>IFERROR(VLOOKUP(K382,【参考】数式用!$A$5:$AB$27,MATCH(P382,【参考】数式用!$B$4:$AB$4,0)+1,0),"")</f>
        <v/>
      </c>
      <c r="T382" s="1413" t="s">
        <v>2258</v>
      </c>
      <c r="U382" s="1562" t="str">
        <f>IF('別紙様式2-3（６月以降分）'!U382="","",'別紙様式2-3（６月以降分）'!U382)</f>
        <v/>
      </c>
      <c r="V382" s="1457" t="str">
        <f>IFERROR(VLOOKUP(K382,【参考】数式用!$A$5:$AB$27,MATCH(U382,【参考】数式用!$B$4:$AB$4,0)+1,0),"")</f>
        <v/>
      </c>
      <c r="W382" s="1350" t="s">
        <v>19</v>
      </c>
      <c r="X382" s="1534">
        <f>'別紙様式2-3（６月以降分）'!X382</f>
        <v>6</v>
      </c>
      <c r="Y382" s="1354" t="s">
        <v>10</v>
      </c>
      <c r="Z382" s="1534">
        <f>'別紙様式2-3（６月以降分）'!Z382</f>
        <v>6</v>
      </c>
      <c r="AA382" s="1354" t="s">
        <v>45</v>
      </c>
      <c r="AB382" s="1534">
        <f>'別紙様式2-3（６月以降分）'!AB382</f>
        <v>7</v>
      </c>
      <c r="AC382" s="1354" t="s">
        <v>10</v>
      </c>
      <c r="AD382" s="1534">
        <f>'別紙様式2-3（６月以降分）'!AD382</f>
        <v>3</v>
      </c>
      <c r="AE382" s="1354" t="s">
        <v>2172</v>
      </c>
      <c r="AF382" s="1354" t="s">
        <v>24</v>
      </c>
      <c r="AG382" s="1354">
        <f>IF(X382&gt;=1,(AB382*12+AD382)-(X382*12+Z382)+1,"")</f>
        <v>10</v>
      </c>
      <c r="AH382" s="1360" t="s">
        <v>38</v>
      </c>
      <c r="AI382" s="1481" t="str">
        <f>'別紙様式2-3（６月以降分）'!AI382</f>
        <v/>
      </c>
      <c r="AJ382" s="1542" t="str">
        <f>'別紙様式2-3（６月以降分）'!AJ382</f>
        <v/>
      </c>
      <c r="AK382" s="1538">
        <f>'別紙様式2-3（６月以降分）'!AK382</f>
        <v>0</v>
      </c>
      <c r="AL382" s="1540" t="str">
        <f>IF('別紙様式2-3（６月以降分）'!AL382="","",'別紙様式2-3（６月以降分）'!AL382)</f>
        <v/>
      </c>
      <c r="AM382" s="1571">
        <f>'別紙様式2-3（６月以降分）'!AM382</f>
        <v>0</v>
      </c>
      <c r="AN382" s="1573" t="str">
        <f>IF('別紙様式2-3（６月以降分）'!AN382="","",'別紙様式2-3（６月以降分）'!AN382)</f>
        <v/>
      </c>
      <c r="AO382" s="1403" t="str">
        <f>IF('別紙様式2-3（６月以降分）'!AO382="","",'別紙様式2-3（６月以降分）'!AO382)</f>
        <v/>
      </c>
      <c r="AP382" s="1502" t="str">
        <f>IF('別紙様式2-3（６月以降分）'!AP382="","",'別紙様式2-3（６月以降分）'!AP382)</f>
        <v/>
      </c>
      <c r="AQ382" s="1403" t="str">
        <f>IF('別紙様式2-3（６月以降分）'!AQ382="","",'別紙様式2-3（６月以降分）'!AQ382)</f>
        <v/>
      </c>
      <c r="AR382" s="1583" t="str">
        <f>IF('別紙様式2-3（６月以降分）'!AR382="","",'別紙様式2-3（６月以降分）'!AR382)</f>
        <v/>
      </c>
      <c r="AS382" s="1536" t="str">
        <f>IF('別紙様式2-3（６月以降分）'!AS382="","",'別紙様式2-3（６月以降分）'!AS382)</f>
        <v/>
      </c>
      <c r="AT382" s="667" t="str">
        <f t="shared" ref="AT382" si="452">IF(AV384="","",IF(V384&lt;V382,"！加算の要件上は問題ありませんが、令和６年度当初の新加算の加算率と比較して、移行後の加算率が下がる計画になっています。",""))</f>
        <v/>
      </c>
      <c r="AU382" s="674"/>
      <c r="AV382" s="1233"/>
      <c r="AW382" s="652" t="str">
        <f>IF('別紙様式2-2（４・５月分）'!O290="","",'別紙様式2-2（４・５月分）'!O290)</f>
        <v/>
      </c>
      <c r="AX382" s="1507" t="str">
        <f>IF(SUM('別紙様式2-2（４・５月分）'!P290:P292)=0,"",SUM('別紙様式2-2（４・５月分）'!P290:P292))</f>
        <v/>
      </c>
      <c r="AY382" s="1590" t="str">
        <f>IFERROR(VLOOKUP(K382,【参考】数式用!$AJ$2:$AK$24,2,FALSE),"")</f>
        <v/>
      </c>
      <c r="AZ382" s="584"/>
      <c r="BE382" s="428"/>
      <c r="BF382" s="1493" t="str">
        <f>G382</f>
        <v/>
      </c>
      <c r="BG382" s="1493"/>
      <c r="BH382" s="1493"/>
    </row>
    <row r="383" spans="1:60" ht="15" customHeight="1">
      <c r="A383" s="1226"/>
      <c r="B383" s="1272"/>
      <c r="C383" s="1261"/>
      <c r="D383" s="1261"/>
      <c r="E383" s="1261"/>
      <c r="F383" s="1262"/>
      <c r="G383" s="1266"/>
      <c r="H383" s="1266"/>
      <c r="I383" s="1266"/>
      <c r="J383" s="1372"/>
      <c r="K383" s="1266"/>
      <c r="L383" s="1451"/>
      <c r="M383" s="1453"/>
      <c r="N383" s="1370" t="str">
        <f>IF('別紙様式2-2（４・５月分）'!Q291="","",'別紙様式2-2（４・５月分）'!Q291)</f>
        <v/>
      </c>
      <c r="O383" s="1367"/>
      <c r="P383" s="1383"/>
      <c r="Q383" s="1384"/>
      <c r="R383" s="1385"/>
      <c r="S383" s="1393"/>
      <c r="T383" s="1414"/>
      <c r="U383" s="1563"/>
      <c r="V383" s="1458"/>
      <c r="W383" s="1351"/>
      <c r="X383" s="1535"/>
      <c r="Y383" s="1355"/>
      <c r="Z383" s="1535"/>
      <c r="AA383" s="1355"/>
      <c r="AB383" s="1535"/>
      <c r="AC383" s="1355"/>
      <c r="AD383" s="1535"/>
      <c r="AE383" s="1355"/>
      <c r="AF383" s="1355"/>
      <c r="AG383" s="1355"/>
      <c r="AH383" s="1361"/>
      <c r="AI383" s="1482"/>
      <c r="AJ383" s="1543"/>
      <c r="AK383" s="1539"/>
      <c r="AL383" s="1541"/>
      <c r="AM383" s="1572"/>
      <c r="AN383" s="1574"/>
      <c r="AO383" s="1404"/>
      <c r="AP383" s="1533"/>
      <c r="AQ383" s="1404"/>
      <c r="AR383" s="1584"/>
      <c r="AS383" s="1537"/>
      <c r="AT383" s="1532" t="str">
        <f t="shared" ref="AT383" si="453">IF(AV384="","",IF(OR(AB384="",AB384&lt;&gt;7,AD384="",AD384&lt;&gt;3),"！算定期間の終わりが令和７年３月になっていません。年度内の廃止予定等がなければ、算定対象月を令和７年３月にしてください。",""))</f>
        <v/>
      </c>
      <c r="AU383" s="674"/>
      <c r="AV383" s="1493"/>
      <c r="AW383" s="1518" t="str">
        <f>IF('別紙様式2-2（４・５月分）'!O291="","",'別紙様式2-2（４・５月分）'!O291)</f>
        <v/>
      </c>
      <c r="AX383" s="1507"/>
      <c r="AY383" s="1589"/>
      <c r="AZ383" s="521"/>
      <c r="BE383" s="428"/>
      <c r="BF383" s="1493" t="str">
        <f>G382</f>
        <v/>
      </c>
      <c r="BG383" s="1493"/>
      <c r="BH383" s="1493"/>
    </row>
    <row r="384" spans="1:60" ht="15" customHeight="1">
      <c r="A384" s="1240"/>
      <c r="B384" s="1272"/>
      <c r="C384" s="1261"/>
      <c r="D384" s="1261"/>
      <c r="E384" s="1261"/>
      <c r="F384" s="1262"/>
      <c r="G384" s="1266"/>
      <c r="H384" s="1266"/>
      <c r="I384" s="1266"/>
      <c r="J384" s="1372"/>
      <c r="K384" s="1266"/>
      <c r="L384" s="1451"/>
      <c r="M384" s="1453"/>
      <c r="N384" s="1371"/>
      <c r="O384" s="1368"/>
      <c r="P384" s="1390" t="s">
        <v>2179</v>
      </c>
      <c r="Q384" s="1504" t="str">
        <f>IFERROR(VLOOKUP('別紙様式2-2（４・５月分）'!AR290,【参考】数式用!$AT$5:$AV$22,3,FALSE),"")</f>
        <v/>
      </c>
      <c r="R384" s="1388" t="s">
        <v>2190</v>
      </c>
      <c r="S384" s="1394" t="str">
        <f>IFERROR(VLOOKUP(K382,【参考】数式用!$A$5:$AB$27,MATCH(Q384,【参考】数式用!$B$4:$AB$4,0)+1,0),"")</f>
        <v/>
      </c>
      <c r="T384" s="1459" t="s">
        <v>2267</v>
      </c>
      <c r="U384" s="1569"/>
      <c r="V384" s="1463" t="str">
        <f>IFERROR(VLOOKUP(K382,【参考】数式用!$A$5:$AB$27,MATCH(U384,【参考】数式用!$B$4:$AB$4,0)+1,0),"")</f>
        <v/>
      </c>
      <c r="W384" s="1465" t="s">
        <v>19</v>
      </c>
      <c r="X384" s="1564"/>
      <c r="Y384" s="1407" t="s">
        <v>10</v>
      </c>
      <c r="Z384" s="1564"/>
      <c r="AA384" s="1407" t="s">
        <v>45</v>
      </c>
      <c r="AB384" s="1564"/>
      <c r="AC384" s="1407" t="s">
        <v>10</v>
      </c>
      <c r="AD384" s="1564"/>
      <c r="AE384" s="1407" t="s">
        <v>2172</v>
      </c>
      <c r="AF384" s="1407" t="s">
        <v>24</v>
      </c>
      <c r="AG384" s="1407" t="str">
        <f>IF(X384&gt;=1,(AB384*12+AD384)-(X384*12+Z384)+1,"")</f>
        <v/>
      </c>
      <c r="AH384" s="1409" t="s">
        <v>38</v>
      </c>
      <c r="AI384" s="1411" t="str">
        <f t="shared" ref="AI384" si="454">IFERROR(ROUNDDOWN(ROUND(L382*V384,0)*M382,0)*AG384,"")</f>
        <v/>
      </c>
      <c r="AJ384" s="1577" t="str">
        <f>IFERROR(ROUNDDOWN(ROUND((L382*(V384-AX382)),0)*M382,0)*AG384,"")</f>
        <v/>
      </c>
      <c r="AK384" s="1494" t="str">
        <f>IFERROR(ROUNDDOWN(ROUNDDOWN(ROUND(L382*VLOOKUP(K382,【参考】数式用!$A$5:$AB$27,MATCH("新加算Ⅳ",【参考】数式用!$B$4:$AB$4,0)+1,0),0)*M382,0)*AG384*0.5,0),"")</f>
        <v/>
      </c>
      <c r="AL384" s="1579"/>
      <c r="AM384" s="1585" t="str">
        <f>IFERROR(IF('別紙様式2-2（４・５月分）'!Q292="ベア加算","", IF(OR(U384="新加算Ⅰ",U384="新加算Ⅱ",U384="新加算Ⅲ",U384="新加算Ⅳ"),ROUNDDOWN(ROUND(L382*VLOOKUP(K382,【参考】数式用!$A$5:$I$27,MATCH("ベア加算",【参考】数式用!$B$4:$I$4,0)+1,0),0)*M382,0)*AG384,"")),"")</f>
        <v/>
      </c>
      <c r="AN384" s="1548"/>
      <c r="AO384" s="1554"/>
      <c r="AP384" s="1552"/>
      <c r="AQ384" s="1554"/>
      <c r="AR384" s="1556"/>
      <c r="AS384" s="1558"/>
      <c r="AT384" s="1532"/>
      <c r="AU384" s="542"/>
      <c r="AV384" s="1493" t="str">
        <f t="shared" ref="AV384" si="455">IF(OR(AB382&lt;&gt;7,AD382&lt;&gt;3),"V列に色付け","")</f>
        <v/>
      </c>
      <c r="AW384" s="1518"/>
      <c r="AX384" s="1507"/>
      <c r="AY384" s="671"/>
      <c r="AZ384" s="1321" t="str">
        <f>IF(AM384&lt;&gt;"",IF(AN384="○","入力済","未入力"),"")</f>
        <v/>
      </c>
      <c r="BA384" s="1321"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321" t="str">
        <f>IF(OR(U384="新加算Ⅴ（７）",U384="新加算Ⅴ（９）",U384="新加算Ⅴ（10）",U384="新加算Ⅴ（12）",U384="新加算Ⅴ（13）",U384="新加算Ⅴ（14）"),IF(OR(AP384="○",AP384="令和６年度中に満たす"),"入力済","未入力"),"")</f>
        <v/>
      </c>
      <c r="BC384" s="1321" t="str">
        <f>IF(OR(U384="新加算Ⅰ",U384="新加算Ⅱ",U384="新加算Ⅲ",U384="新加算Ⅴ（１）",U384="新加算Ⅴ（３）",U384="新加算Ⅴ（８）"),IF(OR(AQ384="○",AQ384="令和６年度中に満たす"),"入力済","未入力"),"")</f>
        <v/>
      </c>
      <c r="BD384" s="1588"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493" t="str">
        <f>IF(OR(U384="新加算Ⅰ",U384="新加算Ⅴ（１）",U384="新加算Ⅴ（２）",U384="新加算Ⅴ（５）",U384="新加算Ⅴ（７）",U384="新加算Ⅴ（10）"),IF(AS384="","未入力","入力済"),"")</f>
        <v/>
      </c>
      <c r="BF384" s="1493" t="str">
        <f>G382</f>
        <v/>
      </c>
      <c r="BG384" s="1493"/>
      <c r="BH384" s="1493"/>
    </row>
    <row r="385" spans="1:60" ht="30" customHeight="1" thickBot="1">
      <c r="A385" s="1227"/>
      <c r="B385" s="1376"/>
      <c r="C385" s="1377"/>
      <c r="D385" s="1377"/>
      <c r="E385" s="1377"/>
      <c r="F385" s="1378"/>
      <c r="G385" s="1267"/>
      <c r="H385" s="1267"/>
      <c r="I385" s="1267"/>
      <c r="J385" s="1373"/>
      <c r="K385" s="1267"/>
      <c r="L385" s="1452"/>
      <c r="M385" s="1454"/>
      <c r="N385" s="650" t="str">
        <f>IF('別紙様式2-2（４・５月分）'!Q292="","",'別紙様式2-2（４・５月分）'!Q292)</f>
        <v/>
      </c>
      <c r="O385" s="1369"/>
      <c r="P385" s="1391"/>
      <c r="Q385" s="1505"/>
      <c r="R385" s="1389"/>
      <c r="S385" s="1395"/>
      <c r="T385" s="1460"/>
      <c r="U385" s="1570"/>
      <c r="V385" s="1464"/>
      <c r="W385" s="1466"/>
      <c r="X385" s="1565"/>
      <c r="Y385" s="1408"/>
      <c r="Z385" s="1565"/>
      <c r="AA385" s="1408"/>
      <c r="AB385" s="1565"/>
      <c r="AC385" s="1408"/>
      <c r="AD385" s="1565"/>
      <c r="AE385" s="1408"/>
      <c r="AF385" s="1408"/>
      <c r="AG385" s="1408"/>
      <c r="AH385" s="1410"/>
      <c r="AI385" s="1412"/>
      <c r="AJ385" s="1578"/>
      <c r="AK385" s="1495"/>
      <c r="AL385" s="1580"/>
      <c r="AM385" s="1586"/>
      <c r="AN385" s="1549"/>
      <c r="AO385" s="1555"/>
      <c r="AP385" s="1553"/>
      <c r="AQ385" s="1555"/>
      <c r="AR385" s="1557"/>
      <c r="AS385" s="1559"/>
      <c r="AT385" s="672" t="str">
        <f t="shared" ref="AT385" si="456">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42"/>
      <c r="AV385" s="1493"/>
      <c r="AW385" s="652" t="str">
        <f>IF('別紙様式2-2（４・５月分）'!O292="","",'別紙様式2-2（４・５月分）'!O292)</f>
        <v/>
      </c>
      <c r="AX385" s="1507"/>
      <c r="AY385" s="673"/>
      <c r="AZ385" s="1321" t="str">
        <f>IF(OR(U385="新加算Ⅰ",U385="新加算Ⅱ",U385="新加算Ⅲ",U385="新加算Ⅳ",U385="新加算Ⅴ（１）",U385="新加算Ⅴ（２）",U385="新加算Ⅴ（３）",U385="新加算ⅠⅤ（４）",U385="新加算Ⅴ（５）",U385="新加算Ⅴ（６）",U385="新加算Ⅴ（８）",U385="新加算Ⅴ（11）"),IF(AJ385="○","","未入力"),"")</f>
        <v/>
      </c>
      <c r="BA385" s="1321" t="str">
        <f>IF(OR(V385="新加算Ⅰ",V385="新加算Ⅱ",V385="新加算Ⅲ",V385="新加算Ⅳ",V385="新加算Ⅴ（１）",V385="新加算Ⅴ（２）",V385="新加算Ⅴ（３）",V385="新加算ⅠⅤ（４）",V385="新加算Ⅴ（５）",V385="新加算Ⅴ（６）",V385="新加算Ⅴ（８）",V385="新加算Ⅴ（11）"),IF(AK385="○","","未入力"),"")</f>
        <v/>
      </c>
      <c r="BB385" s="1321" t="str">
        <f>IF(OR(V385="新加算Ⅴ（７）",V385="新加算Ⅴ（９）",V385="新加算Ⅴ（10）",V385="新加算Ⅴ（12）",V385="新加算Ⅴ（13）",V385="新加算Ⅴ（14）"),IF(AL385="○","","未入力"),"")</f>
        <v/>
      </c>
      <c r="BC385" s="1321" t="str">
        <f>IF(OR(V385="新加算Ⅰ",V385="新加算Ⅱ",V385="新加算Ⅲ",V385="新加算Ⅴ（１）",V385="新加算Ⅴ（３）",V385="新加算Ⅴ（８）"),IF(AM385="○","","未入力"),"")</f>
        <v/>
      </c>
      <c r="BD385" s="1588"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493" t="str">
        <f>IF(AND(U385&lt;&gt;"（参考）令和７年度の移行予定",OR(V385="新加算Ⅰ",V385="新加算Ⅴ（１）",V385="新加算Ⅴ（２）",V385="新加算Ⅴ（５）",V385="新加算Ⅴ（７）",V385="新加算Ⅴ（10）")),IF(AO385="","未入力",IF(AO385="いずれも取得していない","要件を満たさない","")),"")</f>
        <v/>
      </c>
      <c r="BF385" s="1493" t="str">
        <f>G382</f>
        <v/>
      </c>
      <c r="BG385" s="1493"/>
      <c r="BH385" s="1493"/>
    </row>
    <row r="386" spans="1:60" ht="30" customHeight="1">
      <c r="A386" s="1241">
        <v>94</v>
      </c>
      <c r="B386" s="1271" t="str">
        <f>IF(基本情報入力シート!C147="","",基本情報入力シート!C147)</f>
        <v/>
      </c>
      <c r="C386" s="1259"/>
      <c r="D386" s="1259"/>
      <c r="E386" s="1259"/>
      <c r="F386" s="1260"/>
      <c r="G386" s="1265" t="str">
        <f>IF(基本情報入力シート!M147="","",基本情報入力シート!M147)</f>
        <v/>
      </c>
      <c r="H386" s="1265" t="str">
        <f>IF(基本情報入力シート!R147="","",基本情報入力シート!R147)</f>
        <v/>
      </c>
      <c r="I386" s="1265" t="str">
        <f>IF(基本情報入力シート!W147="","",基本情報入力シート!W147)</f>
        <v/>
      </c>
      <c r="J386" s="1379" t="str">
        <f>IF(基本情報入力シート!X147="","",基本情報入力シート!X147)</f>
        <v/>
      </c>
      <c r="K386" s="1265" t="str">
        <f>IF(基本情報入力シート!Y147="","",基本情報入力シート!Y147)</f>
        <v/>
      </c>
      <c r="L386" s="1450" t="str">
        <f>IF(基本情報入力シート!AB147="","",基本情報入力シート!AB147)</f>
        <v/>
      </c>
      <c r="M386" s="1447" t="str">
        <f>IF(基本情報入力シート!AC147="","",基本情報入力シート!AC147)</f>
        <v/>
      </c>
      <c r="N386" s="647" t="str">
        <f>IF('別紙様式2-2（４・５月分）'!Q293="","",'別紙様式2-2（４・５月分）'!Q293)</f>
        <v/>
      </c>
      <c r="O386" s="1366" t="str">
        <f>IF(SUM('別紙様式2-2（４・５月分）'!R293:R295)=0,"",SUM('別紙様式2-2（４・５月分）'!R293:R295))</f>
        <v/>
      </c>
      <c r="P386" s="1380" t="str">
        <f>IFERROR(VLOOKUP('別紙様式2-2（４・５月分）'!AR293,【参考】数式用!$AT$5:$AU$22,2,FALSE),"")</f>
        <v/>
      </c>
      <c r="Q386" s="1381"/>
      <c r="R386" s="1382"/>
      <c r="S386" s="1392" t="str">
        <f>IFERROR(VLOOKUP(K386,【参考】数式用!$A$5:$AB$27,MATCH(P386,【参考】数式用!$B$4:$AB$4,0)+1,0),"")</f>
        <v/>
      </c>
      <c r="T386" s="1413" t="s">
        <v>2258</v>
      </c>
      <c r="U386" s="1562" t="str">
        <f>IF('別紙様式2-3（６月以降分）'!U386="","",'別紙様式2-3（６月以降分）'!U386)</f>
        <v/>
      </c>
      <c r="V386" s="1457" t="str">
        <f>IFERROR(VLOOKUP(K386,【参考】数式用!$A$5:$AB$27,MATCH(U386,【参考】数式用!$B$4:$AB$4,0)+1,0),"")</f>
        <v/>
      </c>
      <c r="W386" s="1350" t="s">
        <v>19</v>
      </c>
      <c r="X386" s="1534">
        <f>'別紙様式2-3（６月以降分）'!X386</f>
        <v>6</v>
      </c>
      <c r="Y386" s="1354" t="s">
        <v>10</v>
      </c>
      <c r="Z386" s="1534">
        <f>'別紙様式2-3（６月以降分）'!Z386</f>
        <v>6</v>
      </c>
      <c r="AA386" s="1354" t="s">
        <v>45</v>
      </c>
      <c r="AB386" s="1534">
        <f>'別紙様式2-3（６月以降分）'!AB386</f>
        <v>7</v>
      </c>
      <c r="AC386" s="1354" t="s">
        <v>10</v>
      </c>
      <c r="AD386" s="1534">
        <f>'別紙様式2-3（６月以降分）'!AD386</f>
        <v>3</v>
      </c>
      <c r="AE386" s="1354" t="s">
        <v>2172</v>
      </c>
      <c r="AF386" s="1354" t="s">
        <v>24</v>
      </c>
      <c r="AG386" s="1354">
        <f>IF(X386&gt;=1,(AB386*12+AD386)-(X386*12+Z386)+1,"")</f>
        <v>10</v>
      </c>
      <c r="AH386" s="1360" t="s">
        <v>38</v>
      </c>
      <c r="AI386" s="1481" t="str">
        <f>'別紙様式2-3（６月以降分）'!AI386</f>
        <v/>
      </c>
      <c r="AJ386" s="1542" t="str">
        <f>'別紙様式2-3（６月以降分）'!AJ386</f>
        <v/>
      </c>
      <c r="AK386" s="1538">
        <f>'別紙様式2-3（６月以降分）'!AK386</f>
        <v>0</v>
      </c>
      <c r="AL386" s="1540" t="str">
        <f>IF('別紙様式2-3（６月以降分）'!AL386="","",'別紙様式2-3（６月以降分）'!AL386)</f>
        <v/>
      </c>
      <c r="AM386" s="1571">
        <f>'別紙様式2-3（６月以降分）'!AM386</f>
        <v>0</v>
      </c>
      <c r="AN386" s="1573" t="str">
        <f>IF('別紙様式2-3（６月以降分）'!AN386="","",'別紙様式2-3（６月以降分）'!AN386)</f>
        <v/>
      </c>
      <c r="AO386" s="1403" t="str">
        <f>IF('別紙様式2-3（６月以降分）'!AO386="","",'別紙様式2-3（６月以降分）'!AO386)</f>
        <v/>
      </c>
      <c r="AP386" s="1502" t="str">
        <f>IF('別紙様式2-3（６月以降分）'!AP386="","",'別紙様式2-3（６月以降分）'!AP386)</f>
        <v/>
      </c>
      <c r="AQ386" s="1403" t="str">
        <f>IF('別紙様式2-3（６月以降分）'!AQ386="","",'別紙様式2-3（６月以降分）'!AQ386)</f>
        <v/>
      </c>
      <c r="AR386" s="1583" t="str">
        <f>IF('別紙様式2-3（６月以降分）'!AR386="","",'別紙様式2-3（６月以降分）'!AR386)</f>
        <v/>
      </c>
      <c r="AS386" s="1536" t="str">
        <f>IF('別紙様式2-3（６月以降分）'!AS386="","",'別紙様式2-3（６月以降分）'!AS386)</f>
        <v/>
      </c>
      <c r="AT386" s="667" t="str">
        <f t="shared" ref="AT386" si="457">IF(AV388="","",IF(V388&lt;V386,"！加算の要件上は問題ありませんが、令和６年度当初の新加算の加算率と比較して、移行後の加算率が下がる計画になっています。",""))</f>
        <v/>
      </c>
      <c r="AU386" s="674"/>
      <c r="AV386" s="1233"/>
      <c r="AW386" s="652" t="str">
        <f>IF('別紙様式2-2（４・５月分）'!O293="","",'別紙様式2-2（４・５月分）'!O293)</f>
        <v/>
      </c>
      <c r="AX386" s="1507" t="str">
        <f>IF(SUM('別紙様式2-2（４・５月分）'!P293:P295)=0,"",SUM('別紙様式2-2（４・５月分）'!P293:P295))</f>
        <v/>
      </c>
      <c r="AY386" s="1589" t="str">
        <f>IFERROR(VLOOKUP(K386,【参考】数式用!$AJ$2:$AK$24,2,FALSE),"")</f>
        <v/>
      </c>
      <c r="AZ386" s="584"/>
      <c r="BE386" s="428"/>
      <c r="BF386" s="1493" t="str">
        <f>G386</f>
        <v/>
      </c>
      <c r="BG386" s="1493"/>
      <c r="BH386" s="1493"/>
    </row>
    <row r="387" spans="1:60" ht="15" customHeight="1">
      <c r="A387" s="1226"/>
      <c r="B387" s="1272"/>
      <c r="C387" s="1261"/>
      <c r="D387" s="1261"/>
      <c r="E387" s="1261"/>
      <c r="F387" s="1262"/>
      <c r="G387" s="1266"/>
      <c r="H387" s="1266"/>
      <c r="I387" s="1266"/>
      <c r="J387" s="1372"/>
      <c r="K387" s="1266"/>
      <c r="L387" s="1451"/>
      <c r="M387" s="1448"/>
      <c r="N387" s="1370" t="str">
        <f>IF('別紙様式2-2（４・５月分）'!Q294="","",'別紙様式2-2（４・５月分）'!Q294)</f>
        <v/>
      </c>
      <c r="O387" s="1367"/>
      <c r="P387" s="1383"/>
      <c r="Q387" s="1384"/>
      <c r="R387" s="1385"/>
      <c r="S387" s="1393"/>
      <c r="T387" s="1414"/>
      <c r="U387" s="1563"/>
      <c r="V387" s="1458"/>
      <c r="W387" s="1351"/>
      <c r="X387" s="1535"/>
      <c r="Y387" s="1355"/>
      <c r="Z387" s="1535"/>
      <c r="AA387" s="1355"/>
      <c r="AB387" s="1535"/>
      <c r="AC387" s="1355"/>
      <c r="AD387" s="1535"/>
      <c r="AE387" s="1355"/>
      <c r="AF387" s="1355"/>
      <c r="AG387" s="1355"/>
      <c r="AH387" s="1361"/>
      <c r="AI387" s="1482"/>
      <c r="AJ387" s="1543"/>
      <c r="AK387" s="1539"/>
      <c r="AL387" s="1541"/>
      <c r="AM387" s="1572"/>
      <c r="AN387" s="1574"/>
      <c r="AO387" s="1404"/>
      <c r="AP387" s="1533"/>
      <c r="AQ387" s="1404"/>
      <c r="AR387" s="1584"/>
      <c r="AS387" s="1537"/>
      <c r="AT387" s="1532" t="str">
        <f t="shared" ref="AT387" si="458">IF(AV388="","",IF(OR(AB388="",AB388&lt;&gt;7,AD388="",AD388&lt;&gt;3),"！算定期間の終わりが令和７年３月になっていません。年度内の廃止予定等がなければ、算定対象月を令和７年３月にしてください。",""))</f>
        <v/>
      </c>
      <c r="AU387" s="674"/>
      <c r="AV387" s="1493"/>
      <c r="AW387" s="1518" t="str">
        <f>IF('別紙様式2-2（４・５月分）'!O294="","",'別紙様式2-2（４・５月分）'!O294)</f>
        <v/>
      </c>
      <c r="AX387" s="1507"/>
      <c r="AY387" s="1589"/>
      <c r="AZ387" s="521"/>
      <c r="BE387" s="428"/>
      <c r="BF387" s="1493" t="str">
        <f>G386</f>
        <v/>
      </c>
      <c r="BG387" s="1493"/>
      <c r="BH387" s="1493"/>
    </row>
    <row r="388" spans="1:60" ht="15" customHeight="1">
      <c r="A388" s="1240"/>
      <c r="B388" s="1272"/>
      <c r="C388" s="1261"/>
      <c r="D388" s="1261"/>
      <c r="E388" s="1261"/>
      <c r="F388" s="1262"/>
      <c r="G388" s="1266"/>
      <c r="H388" s="1266"/>
      <c r="I388" s="1266"/>
      <c r="J388" s="1372"/>
      <c r="K388" s="1266"/>
      <c r="L388" s="1451"/>
      <c r="M388" s="1448"/>
      <c r="N388" s="1371"/>
      <c r="O388" s="1368"/>
      <c r="P388" s="1390" t="s">
        <v>2179</v>
      </c>
      <c r="Q388" s="1504" t="str">
        <f>IFERROR(VLOOKUP('別紙様式2-2（４・５月分）'!AR293,【参考】数式用!$AT$5:$AV$22,3,FALSE),"")</f>
        <v/>
      </c>
      <c r="R388" s="1388" t="s">
        <v>2190</v>
      </c>
      <c r="S388" s="1396" t="str">
        <f>IFERROR(VLOOKUP(K386,【参考】数式用!$A$5:$AB$27,MATCH(Q388,【参考】数式用!$B$4:$AB$4,0)+1,0),"")</f>
        <v/>
      </c>
      <c r="T388" s="1459" t="s">
        <v>2267</v>
      </c>
      <c r="U388" s="1569"/>
      <c r="V388" s="1463" t="str">
        <f>IFERROR(VLOOKUP(K386,【参考】数式用!$A$5:$AB$27,MATCH(U388,【参考】数式用!$B$4:$AB$4,0)+1,0),"")</f>
        <v/>
      </c>
      <c r="W388" s="1465" t="s">
        <v>19</v>
      </c>
      <c r="X388" s="1564"/>
      <c r="Y388" s="1407" t="s">
        <v>10</v>
      </c>
      <c r="Z388" s="1564"/>
      <c r="AA388" s="1407" t="s">
        <v>45</v>
      </c>
      <c r="AB388" s="1564"/>
      <c r="AC388" s="1407" t="s">
        <v>10</v>
      </c>
      <c r="AD388" s="1564"/>
      <c r="AE388" s="1407" t="s">
        <v>2172</v>
      </c>
      <c r="AF388" s="1407" t="s">
        <v>24</v>
      </c>
      <c r="AG388" s="1407" t="str">
        <f>IF(X388&gt;=1,(AB388*12+AD388)-(X388*12+Z388)+1,"")</f>
        <v/>
      </c>
      <c r="AH388" s="1409" t="s">
        <v>38</v>
      </c>
      <c r="AI388" s="1411" t="str">
        <f t="shared" ref="AI388" si="459">IFERROR(ROUNDDOWN(ROUND(L386*V388,0)*M386,0)*AG388,"")</f>
        <v/>
      </c>
      <c r="AJ388" s="1577" t="str">
        <f>IFERROR(ROUNDDOWN(ROUND((L386*(V388-AX386)),0)*M386,0)*AG388,"")</f>
        <v/>
      </c>
      <c r="AK388" s="1494" t="str">
        <f>IFERROR(ROUNDDOWN(ROUNDDOWN(ROUND(L386*VLOOKUP(K386,【参考】数式用!$A$5:$AB$27,MATCH("新加算Ⅳ",【参考】数式用!$B$4:$AB$4,0)+1,0),0)*M386,0)*AG388*0.5,0),"")</f>
        <v/>
      </c>
      <c r="AL388" s="1579"/>
      <c r="AM388" s="1585" t="str">
        <f>IFERROR(IF('別紙様式2-2（４・５月分）'!Q295="ベア加算","", IF(OR(U388="新加算Ⅰ",U388="新加算Ⅱ",U388="新加算Ⅲ",U388="新加算Ⅳ"),ROUNDDOWN(ROUND(L386*VLOOKUP(K386,【参考】数式用!$A$5:$I$27,MATCH("ベア加算",【参考】数式用!$B$4:$I$4,0)+1,0),0)*M386,0)*AG388,"")),"")</f>
        <v/>
      </c>
      <c r="AN388" s="1548"/>
      <c r="AO388" s="1554"/>
      <c r="AP388" s="1552"/>
      <c r="AQ388" s="1554"/>
      <c r="AR388" s="1556"/>
      <c r="AS388" s="1558"/>
      <c r="AT388" s="1532"/>
      <c r="AU388" s="542"/>
      <c r="AV388" s="1493" t="str">
        <f t="shared" ref="AV388" si="460">IF(OR(AB386&lt;&gt;7,AD386&lt;&gt;3),"V列に色付け","")</f>
        <v/>
      </c>
      <c r="AW388" s="1518"/>
      <c r="AX388" s="1507"/>
      <c r="AY388" s="671"/>
      <c r="AZ388" s="1321" t="str">
        <f>IF(AM388&lt;&gt;"",IF(AN388="○","入力済","未入力"),"")</f>
        <v/>
      </c>
      <c r="BA388" s="1321"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321" t="str">
        <f>IF(OR(U388="新加算Ⅴ（７）",U388="新加算Ⅴ（９）",U388="新加算Ⅴ（10）",U388="新加算Ⅴ（12）",U388="新加算Ⅴ（13）",U388="新加算Ⅴ（14）"),IF(OR(AP388="○",AP388="令和６年度中に満たす"),"入力済","未入力"),"")</f>
        <v/>
      </c>
      <c r="BC388" s="1321" t="str">
        <f>IF(OR(U388="新加算Ⅰ",U388="新加算Ⅱ",U388="新加算Ⅲ",U388="新加算Ⅴ（１）",U388="新加算Ⅴ（３）",U388="新加算Ⅴ（８）"),IF(OR(AQ388="○",AQ388="令和６年度中に満たす"),"入力済","未入力"),"")</f>
        <v/>
      </c>
      <c r="BD388" s="1588"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493" t="str">
        <f>IF(OR(U388="新加算Ⅰ",U388="新加算Ⅴ（１）",U388="新加算Ⅴ（２）",U388="新加算Ⅴ（５）",U388="新加算Ⅴ（７）",U388="新加算Ⅴ（10）"),IF(AS388="","未入力","入力済"),"")</f>
        <v/>
      </c>
      <c r="BF388" s="1493" t="str">
        <f>G386</f>
        <v/>
      </c>
      <c r="BG388" s="1493"/>
      <c r="BH388" s="1493"/>
    </row>
    <row r="389" spans="1:60" ht="30" customHeight="1" thickBot="1">
      <c r="A389" s="1227"/>
      <c r="B389" s="1376"/>
      <c r="C389" s="1377"/>
      <c r="D389" s="1377"/>
      <c r="E389" s="1377"/>
      <c r="F389" s="1378"/>
      <c r="G389" s="1267"/>
      <c r="H389" s="1267"/>
      <c r="I389" s="1267"/>
      <c r="J389" s="1373"/>
      <c r="K389" s="1267"/>
      <c r="L389" s="1452"/>
      <c r="M389" s="1449"/>
      <c r="N389" s="650" t="str">
        <f>IF('別紙様式2-2（４・５月分）'!Q295="","",'別紙様式2-2（４・５月分）'!Q295)</f>
        <v/>
      </c>
      <c r="O389" s="1369"/>
      <c r="P389" s="1391"/>
      <c r="Q389" s="1505"/>
      <c r="R389" s="1389"/>
      <c r="S389" s="1395"/>
      <c r="T389" s="1460"/>
      <c r="U389" s="1570"/>
      <c r="V389" s="1464"/>
      <c r="W389" s="1466"/>
      <c r="X389" s="1565"/>
      <c r="Y389" s="1408"/>
      <c r="Z389" s="1565"/>
      <c r="AA389" s="1408"/>
      <c r="AB389" s="1565"/>
      <c r="AC389" s="1408"/>
      <c r="AD389" s="1565"/>
      <c r="AE389" s="1408"/>
      <c r="AF389" s="1408"/>
      <c r="AG389" s="1408"/>
      <c r="AH389" s="1410"/>
      <c r="AI389" s="1412"/>
      <c r="AJ389" s="1578"/>
      <c r="AK389" s="1495"/>
      <c r="AL389" s="1580"/>
      <c r="AM389" s="1586"/>
      <c r="AN389" s="1549"/>
      <c r="AO389" s="1555"/>
      <c r="AP389" s="1553"/>
      <c r="AQ389" s="1555"/>
      <c r="AR389" s="1557"/>
      <c r="AS389" s="1559"/>
      <c r="AT389" s="672" t="str">
        <f t="shared" ref="AT389" si="461">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42"/>
      <c r="AV389" s="1493"/>
      <c r="AW389" s="652" t="str">
        <f>IF('別紙様式2-2（４・５月分）'!O295="","",'別紙様式2-2（４・５月分）'!O295)</f>
        <v/>
      </c>
      <c r="AX389" s="1507"/>
      <c r="AY389" s="673"/>
      <c r="AZ389" s="1321" t="str">
        <f>IF(OR(U389="新加算Ⅰ",U389="新加算Ⅱ",U389="新加算Ⅲ",U389="新加算Ⅳ",U389="新加算Ⅴ（１）",U389="新加算Ⅴ（２）",U389="新加算Ⅴ（３）",U389="新加算ⅠⅤ（４）",U389="新加算Ⅴ（５）",U389="新加算Ⅴ（６）",U389="新加算Ⅴ（８）",U389="新加算Ⅴ（11）"),IF(AJ389="○","","未入力"),"")</f>
        <v/>
      </c>
      <c r="BA389" s="1321" t="str">
        <f>IF(OR(V389="新加算Ⅰ",V389="新加算Ⅱ",V389="新加算Ⅲ",V389="新加算Ⅳ",V389="新加算Ⅴ（１）",V389="新加算Ⅴ（２）",V389="新加算Ⅴ（３）",V389="新加算ⅠⅤ（４）",V389="新加算Ⅴ（５）",V389="新加算Ⅴ（６）",V389="新加算Ⅴ（８）",V389="新加算Ⅴ（11）"),IF(AK389="○","","未入力"),"")</f>
        <v/>
      </c>
      <c r="BB389" s="1321" t="str">
        <f>IF(OR(V389="新加算Ⅴ（７）",V389="新加算Ⅴ（９）",V389="新加算Ⅴ（10）",V389="新加算Ⅴ（12）",V389="新加算Ⅴ（13）",V389="新加算Ⅴ（14）"),IF(AL389="○","","未入力"),"")</f>
        <v/>
      </c>
      <c r="BC389" s="1321" t="str">
        <f>IF(OR(V389="新加算Ⅰ",V389="新加算Ⅱ",V389="新加算Ⅲ",V389="新加算Ⅴ（１）",V389="新加算Ⅴ（３）",V389="新加算Ⅴ（８）"),IF(AM389="○","","未入力"),"")</f>
        <v/>
      </c>
      <c r="BD389" s="1588"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493" t="str">
        <f>IF(AND(U389&lt;&gt;"（参考）令和７年度の移行予定",OR(V389="新加算Ⅰ",V389="新加算Ⅴ（１）",V389="新加算Ⅴ（２）",V389="新加算Ⅴ（５）",V389="新加算Ⅴ（７）",V389="新加算Ⅴ（10）")),IF(AO389="","未入力",IF(AO389="いずれも取得していない","要件を満たさない","")),"")</f>
        <v/>
      </c>
      <c r="BF389" s="1493" t="str">
        <f>G386</f>
        <v/>
      </c>
      <c r="BG389" s="1493"/>
      <c r="BH389" s="1493"/>
    </row>
    <row r="390" spans="1:60" ht="30" customHeight="1">
      <c r="A390" s="1225">
        <v>95</v>
      </c>
      <c r="B390" s="1272" t="str">
        <f>IF(基本情報入力シート!C148="","",基本情報入力シート!C148)</f>
        <v/>
      </c>
      <c r="C390" s="1261"/>
      <c r="D390" s="1261"/>
      <c r="E390" s="1261"/>
      <c r="F390" s="1262"/>
      <c r="G390" s="1266" t="str">
        <f>IF(基本情報入力シート!M148="","",基本情報入力シート!M148)</f>
        <v/>
      </c>
      <c r="H390" s="1266" t="str">
        <f>IF(基本情報入力シート!R148="","",基本情報入力シート!R148)</f>
        <v/>
      </c>
      <c r="I390" s="1266" t="str">
        <f>IF(基本情報入力シート!W148="","",基本情報入力シート!W148)</f>
        <v/>
      </c>
      <c r="J390" s="1372" t="str">
        <f>IF(基本情報入力シート!X148="","",基本情報入力シート!X148)</f>
        <v/>
      </c>
      <c r="K390" s="1266" t="str">
        <f>IF(基本情報入力シート!Y148="","",基本情報入力シート!Y148)</f>
        <v/>
      </c>
      <c r="L390" s="1451" t="str">
        <f>IF(基本情報入力シート!AB148="","",基本情報入力シート!AB148)</f>
        <v/>
      </c>
      <c r="M390" s="1453" t="str">
        <f>IF(基本情報入力シート!AC148="","",基本情報入力シート!AC148)</f>
        <v/>
      </c>
      <c r="N390" s="647" t="str">
        <f>IF('別紙様式2-2（４・５月分）'!Q296="","",'別紙様式2-2（４・５月分）'!Q296)</f>
        <v/>
      </c>
      <c r="O390" s="1366" t="str">
        <f>IF(SUM('別紙様式2-2（４・５月分）'!R296:R298)=0,"",SUM('別紙様式2-2（４・５月分）'!R296:R298))</f>
        <v/>
      </c>
      <c r="P390" s="1380" t="str">
        <f>IFERROR(VLOOKUP('別紙様式2-2（４・５月分）'!AR296,【参考】数式用!$AT$5:$AU$22,2,FALSE),"")</f>
        <v/>
      </c>
      <c r="Q390" s="1381"/>
      <c r="R390" s="1382"/>
      <c r="S390" s="1392" t="str">
        <f>IFERROR(VLOOKUP(K390,【参考】数式用!$A$5:$AB$27,MATCH(P390,【参考】数式用!$B$4:$AB$4,0)+1,0),"")</f>
        <v/>
      </c>
      <c r="T390" s="1413" t="s">
        <v>2258</v>
      </c>
      <c r="U390" s="1562" t="str">
        <f>IF('別紙様式2-3（６月以降分）'!U390="","",'別紙様式2-3（６月以降分）'!U390)</f>
        <v/>
      </c>
      <c r="V390" s="1457" t="str">
        <f>IFERROR(VLOOKUP(K390,【参考】数式用!$A$5:$AB$27,MATCH(U390,【参考】数式用!$B$4:$AB$4,0)+1,0),"")</f>
        <v/>
      </c>
      <c r="W390" s="1350" t="s">
        <v>19</v>
      </c>
      <c r="X390" s="1534">
        <f>'別紙様式2-3（６月以降分）'!X390</f>
        <v>6</v>
      </c>
      <c r="Y390" s="1354" t="s">
        <v>10</v>
      </c>
      <c r="Z390" s="1534">
        <f>'別紙様式2-3（６月以降分）'!Z390</f>
        <v>6</v>
      </c>
      <c r="AA390" s="1354" t="s">
        <v>45</v>
      </c>
      <c r="AB390" s="1534">
        <f>'別紙様式2-3（６月以降分）'!AB390</f>
        <v>7</v>
      </c>
      <c r="AC390" s="1354" t="s">
        <v>10</v>
      </c>
      <c r="AD390" s="1534">
        <f>'別紙様式2-3（６月以降分）'!AD390</f>
        <v>3</v>
      </c>
      <c r="AE390" s="1354" t="s">
        <v>2172</v>
      </c>
      <c r="AF390" s="1354" t="s">
        <v>24</v>
      </c>
      <c r="AG390" s="1354">
        <f>IF(X390&gt;=1,(AB390*12+AD390)-(X390*12+Z390)+1,"")</f>
        <v>10</v>
      </c>
      <c r="AH390" s="1360" t="s">
        <v>38</v>
      </c>
      <c r="AI390" s="1481" t="str">
        <f>'別紙様式2-3（６月以降分）'!AI390</f>
        <v/>
      </c>
      <c r="AJ390" s="1542" t="str">
        <f>'別紙様式2-3（６月以降分）'!AJ390</f>
        <v/>
      </c>
      <c r="AK390" s="1538">
        <f>'別紙様式2-3（６月以降分）'!AK390</f>
        <v>0</v>
      </c>
      <c r="AL390" s="1540" t="str">
        <f>IF('別紙様式2-3（６月以降分）'!AL390="","",'別紙様式2-3（６月以降分）'!AL390)</f>
        <v/>
      </c>
      <c r="AM390" s="1571">
        <f>'別紙様式2-3（６月以降分）'!AM390</f>
        <v>0</v>
      </c>
      <c r="AN390" s="1573" t="str">
        <f>IF('別紙様式2-3（６月以降分）'!AN390="","",'別紙様式2-3（６月以降分）'!AN390)</f>
        <v/>
      </c>
      <c r="AO390" s="1403" t="str">
        <f>IF('別紙様式2-3（６月以降分）'!AO390="","",'別紙様式2-3（６月以降分）'!AO390)</f>
        <v/>
      </c>
      <c r="AP390" s="1502" t="str">
        <f>IF('別紙様式2-3（６月以降分）'!AP390="","",'別紙様式2-3（６月以降分）'!AP390)</f>
        <v/>
      </c>
      <c r="AQ390" s="1403" t="str">
        <f>IF('別紙様式2-3（６月以降分）'!AQ390="","",'別紙様式2-3（６月以降分）'!AQ390)</f>
        <v/>
      </c>
      <c r="AR390" s="1583" t="str">
        <f>IF('別紙様式2-3（６月以降分）'!AR390="","",'別紙様式2-3（６月以降分）'!AR390)</f>
        <v/>
      </c>
      <c r="AS390" s="1536" t="str">
        <f>IF('別紙様式2-3（６月以降分）'!AS390="","",'別紙様式2-3（６月以降分）'!AS390)</f>
        <v/>
      </c>
      <c r="AT390" s="667" t="str">
        <f t="shared" ref="AT390" si="462">IF(AV392="","",IF(V392&lt;V390,"！加算の要件上は問題ありませんが、令和６年度当初の新加算の加算率と比較して、移行後の加算率が下がる計画になっています。",""))</f>
        <v/>
      </c>
      <c r="AU390" s="674"/>
      <c r="AV390" s="1233"/>
      <c r="AW390" s="652" t="str">
        <f>IF('別紙様式2-2（４・５月分）'!O296="","",'別紙様式2-2（４・５月分）'!O296)</f>
        <v/>
      </c>
      <c r="AX390" s="1507" t="str">
        <f>IF(SUM('別紙様式2-2（４・５月分）'!P296:P298)=0,"",SUM('別紙様式2-2（４・５月分）'!P296:P298))</f>
        <v/>
      </c>
      <c r="AY390" s="1590" t="str">
        <f>IFERROR(VLOOKUP(K390,【参考】数式用!$AJ$2:$AK$24,2,FALSE),"")</f>
        <v/>
      </c>
      <c r="AZ390" s="584"/>
      <c r="BE390" s="428"/>
      <c r="BF390" s="1493" t="str">
        <f>G390</f>
        <v/>
      </c>
      <c r="BG390" s="1493"/>
      <c r="BH390" s="1493"/>
    </row>
    <row r="391" spans="1:60" ht="15" customHeight="1">
      <c r="A391" s="1226"/>
      <c r="B391" s="1272"/>
      <c r="C391" s="1261"/>
      <c r="D391" s="1261"/>
      <c r="E391" s="1261"/>
      <c r="F391" s="1262"/>
      <c r="G391" s="1266"/>
      <c r="H391" s="1266"/>
      <c r="I391" s="1266"/>
      <c r="J391" s="1372"/>
      <c r="K391" s="1266"/>
      <c r="L391" s="1451"/>
      <c r="M391" s="1453"/>
      <c r="N391" s="1370" t="str">
        <f>IF('別紙様式2-2（４・５月分）'!Q297="","",'別紙様式2-2（４・５月分）'!Q297)</f>
        <v/>
      </c>
      <c r="O391" s="1367"/>
      <c r="P391" s="1383"/>
      <c r="Q391" s="1384"/>
      <c r="R391" s="1385"/>
      <c r="S391" s="1393"/>
      <c r="T391" s="1414"/>
      <c r="U391" s="1563"/>
      <c r="V391" s="1458"/>
      <c r="W391" s="1351"/>
      <c r="X391" s="1535"/>
      <c r="Y391" s="1355"/>
      <c r="Z391" s="1535"/>
      <c r="AA391" s="1355"/>
      <c r="AB391" s="1535"/>
      <c r="AC391" s="1355"/>
      <c r="AD391" s="1535"/>
      <c r="AE391" s="1355"/>
      <c r="AF391" s="1355"/>
      <c r="AG391" s="1355"/>
      <c r="AH391" s="1361"/>
      <c r="AI391" s="1482"/>
      <c r="AJ391" s="1543"/>
      <c r="AK391" s="1539"/>
      <c r="AL391" s="1541"/>
      <c r="AM391" s="1572"/>
      <c r="AN391" s="1574"/>
      <c r="AO391" s="1404"/>
      <c r="AP391" s="1533"/>
      <c r="AQ391" s="1404"/>
      <c r="AR391" s="1584"/>
      <c r="AS391" s="1537"/>
      <c r="AT391" s="1532" t="str">
        <f t="shared" ref="AT391" si="463">IF(AV392="","",IF(OR(AB392="",AB392&lt;&gt;7,AD392="",AD392&lt;&gt;3),"！算定期間の終わりが令和７年３月になっていません。年度内の廃止予定等がなければ、算定対象月を令和７年３月にしてください。",""))</f>
        <v/>
      </c>
      <c r="AU391" s="674"/>
      <c r="AV391" s="1493"/>
      <c r="AW391" s="1518" t="str">
        <f>IF('別紙様式2-2（４・５月分）'!O297="","",'別紙様式2-2（４・５月分）'!O297)</f>
        <v/>
      </c>
      <c r="AX391" s="1507"/>
      <c r="AY391" s="1589"/>
      <c r="AZ391" s="521"/>
      <c r="BE391" s="428"/>
      <c r="BF391" s="1493" t="str">
        <f>G390</f>
        <v/>
      </c>
      <c r="BG391" s="1493"/>
      <c r="BH391" s="1493"/>
    </row>
    <row r="392" spans="1:60" ht="15" customHeight="1">
      <c r="A392" s="1240"/>
      <c r="B392" s="1272"/>
      <c r="C392" s="1261"/>
      <c r="D392" s="1261"/>
      <c r="E392" s="1261"/>
      <c r="F392" s="1262"/>
      <c r="G392" s="1266"/>
      <c r="H392" s="1266"/>
      <c r="I392" s="1266"/>
      <c r="J392" s="1372"/>
      <c r="K392" s="1266"/>
      <c r="L392" s="1451"/>
      <c r="M392" s="1453"/>
      <c r="N392" s="1371"/>
      <c r="O392" s="1368"/>
      <c r="P392" s="1390" t="s">
        <v>2179</v>
      </c>
      <c r="Q392" s="1504" t="str">
        <f>IFERROR(VLOOKUP('別紙様式2-2（４・５月分）'!AR296,【参考】数式用!$AT$5:$AV$22,3,FALSE),"")</f>
        <v/>
      </c>
      <c r="R392" s="1388" t="s">
        <v>2190</v>
      </c>
      <c r="S392" s="1394" t="str">
        <f>IFERROR(VLOOKUP(K390,【参考】数式用!$A$5:$AB$27,MATCH(Q392,【参考】数式用!$B$4:$AB$4,0)+1,0),"")</f>
        <v/>
      </c>
      <c r="T392" s="1459" t="s">
        <v>2267</v>
      </c>
      <c r="U392" s="1569"/>
      <c r="V392" s="1463" t="str">
        <f>IFERROR(VLOOKUP(K390,【参考】数式用!$A$5:$AB$27,MATCH(U392,【参考】数式用!$B$4:$AB$4,0)+1,0),"")</f>
        <v/>
      </c>
      <c r="W392" s="1465" t="s">
        <v>19</v>
      </c>
      <c r="X392" s="1564"/>
      <c r="Y392" s="1407" t="s">
        <v>10</v>
      </c>
      <c r="Z392" s="1564"/>
      <c r="AA392" s="1407" t="s">
        <v>45</v>
      </c>
      <c r="AB392" s="1564"/>
      <c r="AC392" s="1407" t="s">
        <v>10</v>
      </c>
      <c r="AD392" s="1564"/>
      <c r="AE392" s="1407" t="s">
        <v>2172</v>
      </c>
      <c r="AF392" s="1407" t="s">
        <v>24</v>
      </c>
      <c r="AG392" s="1407" t="str">
        <f>IF(X392&gt;=1,(AB392*12+AD392)-(X392*12+Z392)+1,"")</f>
        <v/>
      </c>
      <c r="AH392" s="1409" t="s">
        <v>38</v>
      </c>
      <c r="AI392" s="1411" t="str">
        <f t="shared" ref="AI392" si="464">IFERROR(ROUNDDOWN(ROUND(L390*V392,0)*M390,0)*AG392,"")</f>
        <v/>
      </c>
      <c r="AJ392" s="1577" t="str">
        <f>IFERROR(ROUNDDOWN(ROUND((L390*(V392-AX390)),0)*M390,0)*AG392,"")</f>
        <v/>
      </c>
      <c r="AK392" s="1494" t="str">
        <f>IFERROR(ROUNDDOWN(ROUNDDOWN(ROUND(L390*VLOOKUP(K390,【参考】数式用!$A$5:$AB$27,MATCH("新加算Ⅳ",【参考】数式用!$B$4:$AB$4,0)+1,0),0)*M390,0)*AG392*0.5,0),"")</f>
        <v/>
      </c>
      <c r="AL392" s="1579"/>
      <c r="AM392" s="1585" t="str">
        <f>IFERROR(IF('別紙様式2-2（４・５月分）'!Q298="ベア加算","", IF(OR(U392="新加算Ⅰ",U392="新加算Ⅱ",U392="新加算Ⅲ",U392="新加算Ⅳ"),ROUNDDOWN(ROUND(L390*VLOOKUP(K390,【参考】数式用!$A$5:$I$27,MATCH("ベア加算",【参考】数式用!$B$4:$I$4,0)+1,0),0)*M390,0)*AG392,"")),"")</f>
        <v/>
      </c>
      <c r="AN392" s="1548"/>
      <c r="AO392" s="1554"/>
      <c r="AP392" s="1552"/>
      <c r="AQ392" s="1554"/>
      <c r="AR392" s="1556"/>
      <c r="AS392" s="1558"/>
      <c r="AT392" s="1532"/>
      <c r="AU392" s="542"/>
      <c r="AV392" s="1493" t="str">
        <f t="shared" ref="AV392" si="465">IF(OR(AB390&lt;&gt;7,AD390&lt;&gt;3),"V列に色付け","")</f>
        <v/>
      </c>
      <c r="AW392" s="1518"/>
      <c r="AX392" s="1507"/>
      <c r="AY392" s="671"/>
      <c r="AZ392" s="1321" t="str">
        <f>IF(AM392&lt;&gt;"",IF(AN392="○","入力済","未入力"),"")</f>
        <v/>
      </c>
      <c r="BA392" s="1321"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321" t="str">
        <f>IF(OR(U392="新加算Ⅴ（７）",U392="新加算Ⅴ（９）",U392="新加算Ⅴ（10）",U392="新加算Ⅴ（12）",U392="新加算Ⅴ（13）",U392="新加算Ⅴ（14）"),IF(OR(AP392="○",AP392="令和６年度中に満たす"),"入力済","未入力"),"")</f>
        <v/>
      </c>
      <c r="BC392" s="1321" t="str">
        <f>IF(OR(U392="新加算Ⅰ",U392="新加算Ⅱ",U392="新加算Ⅲ",U392="新加算Ⅴ（１）",U392="新加算Ⅴ（３）",U392="新加算Ⅴ（８）"),IF(OR(AQ392="○",AQ392="令和６年度中に満たす"),"入力済","未入力"),"")</f>
        <v/>
      </c>
      <c r="BD392" s="1588"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493" t="str">
        <f>IF(OR(U392="新加算Ⅰ",U392="新加算Ⅴ（１）",U392="新加算Ⅴ（２）",U392="新加算Ⅴ（５）",U392="新加算Ⅴ（７）",U392="新加算Ⅴ（10）"),IF(AS392="","未入力","入力済"),"")</f>
        <v/>
      </c>
      <c r="BF392" s="1493" t="str">
        <f>G390</f>
        <v/>
      </c>
      <c r="BG392" s="1493"/>
      <c r="BH392" s="1493"/>
    </row>
    <row r="393" spans="1:60" ht="30" customHeight="1" thickBot="1">
      <c r="A393" s="1227"/>
      <c r="B393" s="1376"/>
      <c r="C393" s="1377"/>
      <c r="D393" s="1377"/>
      <c r="E393" s="1377"/>
      <c r="F393" s="1378"/>
      <c r="G393" s="1267"/>
      <c r="H393" s="1267"/>
      <c r="I393" s="1267"/>
      <c r="J393" s="1373"/>
      <c r="K393" s="1267"/>
      <c r="L393" s="1452"/>
      <c r="M393" s="1454"/>
      <c r="N393" s="650" t="str">
        <f>IF('別紙様式2-2（４・５月分）'!Q298="","",'別紙様式2-2（４・５月分）'!Q298)</f>
        <v/>
      </c>
      <c r="O393" s="1369"/>
      <c r="P393" s="1391"/>
      <c r="Q393" s="1505"/>
      <c r="R393" s="1389"/>
      <c r="S393" s="1395"/>
      <c r="T393" s="1460"/>
      <c r="U393" s="1570"/>
      <c r="V393" s="1464"/>
      <c r="W393" s="1466"/>
      <c r="X393" s="1565"/>
      <c r="Y393" s="1408"/>
      <c r="Z393" s="1565"/>
      <c r="AA393" s="1408"/>
      <c r="AB393" s="1565"/>
      <c r="AC393" s="1408"/>
      <c r="AD393" s="1565"/>
      <c r="AE393" s="1408"/>
      <c r="AF393" s="1408"/>
      <c r="AG393" s="1408"/>
      <c r="AH393" s="1410"/>
      <c r="AI393" s="1412"/>
      <c r="AJ393" s="1578"/>
      <c r="AK393" s="1495"/>
      <c r="AL393" s="1580"/>
      <c r="AM393" s="1586"/>
      <c r="AN393" s="1549"/>
      <c r="AO393" s="1555"/>
      <c r="AP393" s="1553"/>
      <c r="AQ393" s="1555"/>
      <c r="AR393" s="1557"/>
      <c r="AS393" s="1559"/>
      <c r="AT393" s="672" t="str">
        <f t="shared" ref="AT393" si="466">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42"/>
      <c r="AV393" s="1493"/>
      <c r="AW393" s="652" t="str">
        <f>IF('別紙様式2-2（４・５月分）'!O298="","",'別紙様式2-2（４・５月分）'!O298)</f>
        <v/>
      </c>
      <c r="AX393" s="1507"/>
      <c r="AY393" s="673"/>
      <c r="AZ393" s="1321" t="str">
        <f>IF(OR(U393="新加算Ⅰ",U393="新加算Ⅱ",U393="新加算Ⅲ",U393="新加算Ⅳ",U393="新加算Ⅴ（１）",U393="新加算Ⅴ（２）",U393="新加算Ⅴ（３）",U393="新加算ⅠⅤ（４）",U393="新加算Ⅴ（５）",U393="新加算Ⅴ（６）",U393="新加算Ⅴ（８）",U393="新加算Ⅴ（11）"),IF(AJ393="○","","未入力"),"")</f>
        <v/>
      </c>
      <c r="BA393" s="1321" t="str">
        <f>IF(OR(V393="新加算Ⅰ",V393="新加算Ⅱ",V393="新加算Ⅲ",V393="新加算Ⅳ",V393="新加算Ⅴ（１）",V393="新加算Ⅴ（２）",V393="新加算Ⅴ（３）",V393="新加算ⅠⅤ（４）",V393="新加算Ⅴ（５）",V393="新加算Ⅴ（６）",V393="新加算Ⅴ（８）",V393="新加算Ⅴ（11）"),IF(AK393="○","","未入力"),"")</f>
        <v/>
      </c>
      <c r="BB393" s="1321" t="str">
        <f>IF(OR(V393="新加算Ⅴ（７）",V393="新加算Ⅴ（９）",V393="新加算Ⅴ（10）",V393="新加算Ⅴ（12）",V393="新加算Ⅴ（13）",V393="新加算Ⅴ（14）"),IF(AL393="○","","未入力"),"")</f>
        <v/>
      </c>
      <c r="BC393" s="1321" t="str">
        <f>IF(OR(V393="新加算Ⅰ",V393="新加算Ⅱ",V393="新加算Ⅲ",V393="新加算Ⅴ（１）",V393="新加算Ⅴ（３）",V393="新加算Ⅴ（８）"),IF(AM393="○","","未入力"),"")</f>
        <v/>
      </c>
      <c r="BD393" s="1588"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493" t="str">
        <f>IF(AND(U393&lt;&gt;"（参考）令和７年度の移行予定",OR(V393="新加算Ⅰ",V393="新加算Ⅴ（１）",V393="新加算Ⅴ（２）",V393="新加算Ⅴ（５）",V393="新加算Ⅴ（７）",V393="新加算Ⅴ（10）")),IF(AO393="","未入力",IF(AO393="いずれも取得していない","要件を満たさない","")),"")</f>
        <v/>
      </c>
      <c r="BF393" s="1493" t="str">
        <f>G390</f>
        <v/>
      </c>
      <c r="BG393" s="1493"/>
      <c r="BH393" s="1493"/>
    </row>
    <row r="394" spans="1:60" ht="30" customHeight="1">
      <c r="A394" s="1241">
        <v>96</v>
      </c>
      <c r="B394" s="1271" t="str">
        <f>IF(基本情報入力シート!C149="","",基本情報入力シート!C149)</f>
        <v/>
      </c>
      <c r="C394" s="1259"/>
      <c r="D394" s="1259"/>
      <c r="E394" s="1259"/>
      <c r="F394" s="1260"/>
      <c r="G394" s="1265" t="str">
        <f>IF(基本情報入力シート!M149="","",基本情報入力シート!M149)</f>
        <v/>
      </c>
      <c r="H394" s="1265" t="str">
        <f>IF(基本情報入力シート!R149="","",基本情報入力シート!R149)</f>
        <v/>
      </c>
      <c r="I394" s="1265" t="str">
        <f>IF(基本情報入力シート!W149="","",基本情報入力シート!W149)</f>
        <v/>
      </c>
      <c r="J394" s="1379" t="str">
        <f>IF(基本情報入力シート!X149="","",基本情報入力シート!X149)</f>
        <v/>
      </c>
      <c r="K394" s="1265" t="str">
        <f>IF(基本情報入力シート!Y149="","",基本情報入力シート!Y149)</f>
        <v/>
      </c>
      <c r="L394" s="1450" t="str">
        <f>IF(基本情報入力シート!AB149="","",基本情報入力シート!AB149)</f>
        <v/>
      </c>
      <c r="M394" s="1447" t="str">
        <f>IF(基本情報入力シート!AC149="","",基本情報入力シート!AC149)</f>
        <v/>
      </c>
      <c r="N394" s="647" t="str">
        <f>IF('別紙様式2-2（４・５月分）'!Q299="","",'別紙様式2-2（４・５月分）'!Q299)</f>
        <v/>
      </c>
      <c r="O394" s="1366" t="str">
        <f>IF(SUM('別紙様式2-2（４・５月分）'!R299:R301)=0,"",SUM('別紙様式2-2（４・５月分）'!R299:R301))</f>
        <v/>
      </c>
      <c r="P394" s="1380" t="str">
        <f>IFERROR(VLOOKUP('別紙様式2-2（４・５月分）'!AR299,【参考】数式用!$AT$5:$AU$22,2,FALSE),"")</f>
        <v/>
      </c>
      <c r="Q394" s="1381"/>
      <c r="R394" s="1382"/>
      <c r="S394" s="1392" t="str">
        <f>IFERROR(VLOOKUP(K394,【参考】数式用!$A$5:$AB$27,MATCH(P394,【参考】数式用!$B$4:$AB$4,0)+1,0),"")</f>
        <v/>
      </c>
      <c r="T394" s="1413" t="s">
        <v>2258</v>
      </c>
      <c r="U394" s="1562" t="str">
        <f>IF('別紙様式2-3（６月以降分）'!U394="","",'別紙様式2-3（６月以降分）'!U394)</f>
        <v/>
      </c>
      <c r="V394" s="1457" t="str">
        <f>IFERROR(VLOOKUP(K394,【参考】数式用!$A$5:$AB$27,MATCH(U394,【参考】数式用!$B$4:$AB$4,0)+1,0),"")</f>
        <v/>
      </c>
      <c r="W394" s="1350" t="s">
        <v>19</v>
      </c>
      <c r="X394" s="1534">
        <f>'別紙様式2-3（６月以降分）'!X394</f>
        <v>6</v>
      </c>
      <c r="Y394" s="1354" t="s">
        <v>10</v>
      </c>
      <c r="Z394" s="1534">
        <f>'別紙様式2-3（６月以降分）'!Z394</f>
        <v>6</v>
      </c>
      <c r="AA394" s="1354" t="s">
        <v>45</v>
      </c>
      <c r="AB394" s="1534">
        <f>'別紙様式2-3（６月以降分）'!AB394</f>
        <v>7</v>
      </c>
      <c r="AC394" s="1354" t="s">
        <v>10</v>
      </c>
      <c r="AD394" s="1534">
        <f>'別紙様式2-3（６月以降分）'!AD394</f>
        <v>3</v>
      </c>
      <c r="AE394" s="1354" t="s">
        <v>2172</v>
      </c>
      <c r="AF394" s="1354" t="s">
        <v>24</v>
      </c>
      <c r="AG394" s="1354">
        <f>IF(X394&gt;=1,(AB394*12+AD394)-(X394*12+Z394)+1,"")</f>
        <v>10</v>
      </c>
      <c r="AH394" s="1360" t="s">
        <v>38</v>
      </c>
      <c r="AI394" s="1481" t="str">
        <f>'別紙様式2-3（６月以降分）'!AI394</f>
        <v/>
      </c>
      <c r="AJ394" s="1542" t="str">
        <f>'別紙様式2-3（６月以降分）'!AJ394</f>
        <v/>
      </c>
      <c r="AK394" s="1538">
        <f>'別紙様式2-3（６月以降分）'!AK394</f>
        <v>0</v>
      </c>
      <c r="AL394" s="1540" t="str">
        <f>IF('別紙様式2-3（６月以降分）'!AL394="","",'別紙様式2-3（６月以降分）'!AL394)</f>
        <v/>
      </c>
      <c r="AM394" s="1571">
        <f>'別紙様式2-3（６月以降分）'!AM394</f>
        <v>0</v>
      </c>
      <c r="AN394" s="1573" t="str">
        <f>IF('別紙様式2-3（６月以降分）'!AN394="","",'別紙様式2-3（６月以降分）'!AN394)</f>
        <v/>
      </c>
      <c r="AO394" s="1403" t="str">
        <f>IF('別紙様式2-3（６月以降分）'!AO394="","",'別紙様式2-3（６月以降分）'!AO394)</f>
        <v/>
      </c>
      <c r="AP394" s="1502" t="str">
        <f>IF('別紙様式2-3（６月以降分）'!AP394="","",'別紙様式2-3（６月以降分）'!AP394)</f>
        <v/>
      </c>
      <c r="AQ394" s="1403" t="str">
        <f>IF('別紙様式2-3（６月以降分）'!AQ394="","",'別紙様式2-3（６月以降分）'!AQ394)</f>
        <v/>
      </c>
      <c r="AR394" s="1583" t="str">
        <f>IF('別紙様式2-3（６月以降分）'!AR394="","",'別紙様式2-3（６月以降分）'!AR394)</f>
        <v/>
      </c>
      <c r="AS394" s="1536" t="str">
        <f>IF('別紙様式2-3（６月以降分）'!AS394="","",'別紙様式2-3（６月以降分）'!AS394)</f>
        <v/>
      </c>
      <c r="AT394" s="667" t="str">
        <f t="shared" ref="AT394" si="467">IF(AV396="","",IF(V396&lt;V394,"！加算の要件上は問題ありませんが、令和６年度当初の新加算の加算率と比較して、移行後の加算率が下がる計画になっています。",""))</f>
        <v/>
      </c>
      <c r="AU394" s="674"/>
      <c r="AV394" s="1233"/>
      <c r="AW394" s="652" t="str">
        <f>IF('別紙様式2-2（４・５月分）'!O299="","",'別紙様式2-2（４・５月分）'!O299)</f>
        <v/>
      </c>
      <c r="AX394" s="1507" t="str">
        <f>IF(SUM('別紙様式2-2（４・５月分）'!P299:P301)=0,"",SUM('別紙様式2-2（４・５月分）'!P299:P301))</f>
        <v/>
      </c>
      <c r="AY394" s="1589" t="str">
        <f>IFERROR(VLOOKUP(K394,【参考】数式用!$AJ$2:$AK$24,2,FALSE),"")</f>
        <v/>
      </c>
      <c r="AZ394" s="584"/>
      <c r="BE394" s="428"/>
      <c r="BF394" s="1493" t="str">
        <f>G394</f>
        <v/>
      </c>
      <c r="BG394" s="1493"/>
      <c r="BH394" s="1493"/>
    </row>
    <row r="395" spans="1:60" ht="15" customHeight="1">
      <c r="A395" s="1226"/>
      <c r="B395" s="1272"/>
      <c r="C395" s="1261"/>
      <c r="D395" s="1261"/>
      <c r="E395" s="1261"/>
      <c r="F395" s="1262"/>
      <c r="G395" s="1266"/>
      <c r="H395" s="1266"/>
      <c r="I395" s="1266"/>
      <c r="J395" s="1372"/>
      <c r="K395" s="1266"/>
      <c r="L395" s="1451"/>
      <c r="M395" s="1448"/>
      <c r="N395" s="1370" t="str">
        <f>IF('別紙様式2-2（４・５月分）'!Q300="","",'別紙様式2-2（４・５月分）'!Q300)</f>
        <v/>
      </c>
      <c r="O395" s="1367"/>
      <c r="P395" s="1383"/>
      <c r="Q395" s="1384"/>
      <c r="R395" s="1385"/>
      <c r="S395" s="1393"/>
      <c r="T395" s="1414"/>
      <c r="U395" s="1563"/>
      <c r="V395" s="1458"/>
      <c r="W395" s="1351"/>
      <c r="X395" s="1535"/>
      <c r="Y395" s="1355"/>
      <c r="Z395" s="1535"/>
      <c r="AA395" s="1355"/>
      <c r="AB395" s="1535"/>
      <c r="AC395" s="1355"/>
      <c r="AD395" s="1535"/>
      <c r="AE395" s="1355"/>
      <c r="AF395" s="1355"/>
      <c r="AG395" s="1355"/>
      <c r="AH395" s="1361"/>
      <c r="AI395" s="1482"/>
      <c r="AJ395" s="1543"/>
      <c r="AK395" s="1539"/>
      <c r="AL395" s="1541"/>
      <c r="AM395" s="1572"/>
      <c r="AN395" s="1574"/>
      <c r="AO395" s="1404"/>
      <c r="AP395" s="1533"/>
      <c r="AQ395" s="1404"/>
      <c r="AR395" s="1584"/>
      <c r="AS395" s="1537"/>
      <c r="AT395" s="1532" t="str">
        <f t="shared" ref="AT395" si="468">IF(AV396="","",IF(OR(AB396="",AB396&lt;&gt;7,AD396="",AD396&lt;&gt;3),"！算定期間の終わりが令和７年３月になっていません。年度内の廃止予定等がなければ、算定対象月を令和７年３月にしてください。",""))</f>
        <v/>
      </c>
      <c r="AU395" s="674"/>
      <c r="AV395" s="1493"/>
      <c r="AW395" s="1518" t="str">
        <f>IF('別紙様式2-2（４・５月分）'!O300="","",'別紙様式2-2（４・５月分）'!O300)</f>
        <v/>
      </c>
      <c r="AX395" s="1507"/>
      <c r="AY395" s="1589"/>
      <c r="AZ395" s="521"/>
      <c r="BE395" s="428"/>
      <c r="BF395" s="1493" t="str">
        <f>G394</f>
        <v/>
      </c>
      <c r="BG395" s="1493"/>
      <c r="BH395" s="1493"/>
    </row>
    <row r="396" spans="1:60" ht="15" customHeight="1">
      <c r="A396" s="1240"/>
      <c r="B396" s="1272"/>
      <c r="C396" s="1261"/>
      <c r="D396" s="1261"/>
      <c r="E396" s="1261"/>
      <c r="F396" s="1262"/>
      <c r="G396" s="1266"/>
      <c r="H396" s="1266"/>
      <c r="I396" s="1266"/>
      <c r="J396" s="1372"/>
      <c r="K396" s="1266"/>
      <c r="L396" s="1451"/>
      <c r="M396" s="1448"/>
      <c r="N396" s="1371"/>
      <c r="O396" s="1368"/>
      <c r="P396" s="1390" t="s">
        <v>2179</v>
      </c>
      <c r="Q396" s="1504" t="str">
        <f>IFERROR(VLOOKUP('別紙様式2-2（４・５月分）'!AR299,【参考】数式用!$AT$5:$AV$22,3,FALSE),"")</f>
        <v/>
      </c>
      <c r="R396" s="1388" t="s">
        <v>2190</v>
      </c>
      <c r="S396" s="1396" t="str">
        <f>IFERROR(VLOOKUP(K394,【参考】数式用!$A$5:$AB$27,MATCH(Q396,【参考】数式用!$B$4:$AB$4,0)+1,0),"")</f>
        <v/>
      </c>
      <c r="T396" s="1459" t="s">
        <v>2267</v>
      </c>
      <c r="U396" s="1569"/>
      <c r="V396" s="1463" t="str">
        <f>IFERROR(VLOOKUP(K394,【参考】数式用!$A$5:$AB$27,MATCH(U396,【参考】数式用!$B$4:$AB$4,0)+1,0),"")</f>
        <v/>
      </c>
      <c r="W396" s="1465" t="s">
        <v>19</v>
      </c>
      <c r="X396" s="1564"/>
      <c r="Y396" s="1407" t="s">
        <v>10</v>
      </c>
      <c r="Z396" s="1564"/>
      <c r="AA396" s="1407" t="s">
        <v>45</v>
      </c>
      <c r="AB396" s="1564"/>
      <c r="AC396" s="1407" t="s">
        <v>10</v>
      </c>
      <c r="AD396" s="1564"/>
      <c r="AE396" s="1407" t="s">
        <v>2172</v>
      </c>
      <c r="AF396" s="1407" t="s">
        <v>24</v>
      </c>
      <c r="AG396" s="1407" t="str">
        <f>IF(X396&gt;=1,(AB396*12+AD396)-(X396*12+Z396)+1,"")</f>
        <v/>
      </c>
      <c r="AH396" s="1409" t="s">
        <v>38</v>
      </c>
      <c r="AI396" s="1411" t="str">
        <f t="shared" ref="AI396" si="469">IFERROR(ROUNDDOWN(ROUND(L394*V396,0)*M394,0)*AG396,"")</f>
        <v/>
      </c>
      <c r="AJ396" s="1577" t="str">
        <f>IFERROR(ROUNDDOWN(ROUND((L394*(V396-AX394)),0)*M394,0)*AG396,"")</f>
        <v/>
      </c>
      <c r="AK396" s="1494" t="str">
        <f>IFERROR(ROUNDDOWN(ROUNDDOWN(ROUND(L394*VLOOKUP(K394,【参考】数式用!$A$5:$AB$27,MATCH("新加算Ⅳ",【参考】数式用!$B$4:$AB$4,0)+1,0),0)*M394,0)*AG396*0.5,0),"")</f>
        <v/>
      </c>
      <c r="AL396" s="1579"/>
      <c r="AM396" s="1585" t="str">
        <f>IFERROR(IF('別紙様式2-2（４・５月分）'!Q301="ベア加算","", IF(OR(U396="新加算Ⅰ",U396="新加算Ⅱ",U396="新加算Ⅲ",U396="新加算Ⅳ"),ROUNDDOWN(ROUND(L394*VLOOKUP(K394,【参考】数式用!$A$5:$I$27,MATCH("ベア加算",【参考】数式用!$B$4:$I$4,0)+1,0),0)*M394,0)*AG396,"")),"")</f>
        <v/>
      </c>
      <c r="AN396" s="1548"/>
      <c r="AO396" s="1554"/>
      <c r="AP396" s="1552"/>
      <c r="AQ396" s="1554"/>
      <c r="AR396" s="1556"/>
      <c r="AS396" s="1558"/>
      <c r="AT396" s="1532"/>
      <c r="AU396" s="542"/>
      <c r="AV396" s="1493" t="str">
        <f t="shared" ref="AV396" si="470">IF(OR(AB394&lt;&gt;7,AD394&lt;&gt;3),"V列に色付け","")</f>
        <v/>
      </c>
      <c r="AW396" s="1518"/>
      <c r="AX396" s="1507"/>
      <c r="AY396" s="671"/>
      <c r="AZ396" s="1321" t="str">
        <f>IF(AM396&lt;&gt;"",IF(AN396="○","入力済","未入力"),"")</f>
        <v/>
      </c>
      <c r="BA396" s="1321"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321" t="str">
        <f>IF(OR(U396="新加算Ⅴ（７）",U396="新加算Ⅴ（９）",U396="新加算Ⅴ（10）",U396="新加算Ⅴ（12）",U396="新加算Ⅴ（13）",U396="新加算Ⅴ（14）"),IF(OR(AP396="○",AP396="令和６年度中に満たす"),"入力済","未入力"),"")</f>
        <v/>
      </c>
      <c r="BC396" s="1321" t="str">
        <f>IF(OR(U396="新加算Ⅰ",U396="新加算Ⅱ",U396="新加算Ⅲ",U396="新加算Ⅴ（１）",U396="新加算Ⅴ（３）",U396="新加算Ⅴ（８）"),IF(OR(AQ396="○",AQ396="令和６年度中に満たす"),"入力済","未入力"),"")</f>
        <v/>
      </c>
      <c r="BD396" s="1588"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493" t="str">
        <f>IF(OR(U396="新加算Ⅰ",U396="新加算Ⅴ（１）",U396="新加算Ⅴ（２）",U396="新加算Ⅴ（５）",U396="新加算Ⅴ（７）",U396="新加算Ⅴ（10）"),IF(AS396="","未入力","入力済"),"")</f>
        <v/>
      </c>
      <c r="BF396" s="1493" t="str">
        <f>G394</f>
        <v/>
      </c>
      <c r="BG396" s="1493"/>
      <c r="BH396" s="1493"/>
    </row>
    <row r="397" spans="1:60" ht="30" customHeight="1" thickBot="1">
      <c r="A397" s="1227"/>
      <c r="B397" s="1376"/>
      <c r="C397" s="1377"/>
      <c r="D397" s="1377"/>
      <c r="E397" s="1377"/>
      <c r="F397" s="1378"/>
      <c r="G397" s="1267"/>
      <c r="H397" s="1267"/>
      <c r="I397" s="1267"/>
      <c r="J397" s="1373"/>
      <c r="K397" s="1267"/>
      <c r="L397" s="1452"/>
      <c r="M397" s="1449"/>
      <c r="N397" s="650" t="str">
        <f>IF('別紙様式2-2（４・５月分）'!Q301="","",'別紙様式2-2（４・５月分）'!Q301)</f>
        <v/>
      </c>
      <c r="O397" s="1369"/>
      <c r="P397" s="1391"/>
      <c r="Q397" s="1505"/>
      <c r="R397" s="1389"/>
      <c r="S397" s="1395"/>
      <c r="T397" s="1460"/>
      <c r="U397" s="1570"/>
      <c r="V397" s="1464"/>
      <c r="W397" s="1466"/>
      <c r="X397" s="1565"/>
      <c r="Y397" s="1408"/>
      <c r="Z397" s="1565"/>
      <c r="AA397" s="1408"/>
      <c r="AB397" s="1565"/>
      <c r="AC397" s="1408"/>
      <c r="AD397" s="1565"/>
      <c r="AE397" s="1408"/>
      <c r="AF397" s="1408"/>
      <c r="AG397" s="1408"/>
      <c r="AH397" s="1410"/>
      <c r="AI397" s="1412"/>
      <c r="AJ397" s="1578"/>
      <c r="AK397" s="1495"/>
      <c r="AL397" s="1580"/>
      <c r="AM397" s="1586"/>
      <c r="AN397" s="1549"/>
      <c r="AO397" s="1555"/>
      <c r="AP397" s="1553"/>
      <c r="AQ397" s="1555"/>
      <c r="AR397" s="1557"/>
      <c r="AS397" s="1559"/>
      <c r="AT397" s="672" t="str">
        <f t="shared" ref="AT397" si="471">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42"/>
      <c r="AV397" s="1493"/>
      <c r="AW397" s="652" t="str">
        <f>IF('別紙様式2-2（４・５月分）'!O301="","",'別紙様式2-2（４・５月分）'!O301)</f>
        <v/>
      </c>
      <c r="AX397" s="1507"/>
      <c r="AY397" s="673"/>
      <c r="AZ397" s="1321" t="str">
        <f>IF(OR(U397="新加算Ⅰ",U397="新加算Ⅱ",U397="新加算Ⅲ",U397="新加算Ⅳ",U397="新加算Ⅴ（１）",U397="新加算Ⅴ（２）",U397="新加算Ⅴ（３）",U397="新加算ⅠⅤ（４）",U397="新加算Ⅴ（５）",U397="新加算Ⅴ（６）",U397="新加算Ⅴ（８）",U397="新加算Ⅴ（11）"),IF(AJ397="○","","未入力"),"")</f>
        <v/>
      </c>
      <c r="BA397" s="1321" t="str">
        <f>IF(OR(V397="新加算Ⅰ",V397="新加算Ⅱ",V397="新加算Ⅲ",V397="新加算Ⅳ",V397="新加算Ⅴ（１）",V397="新加算Ⅴ（２）",V397="新加算Ⅴ（３）",V397="新加算ⅠⅤ（４）",V397="新加算Ⅴ（５）",V397="新加算Ⅴ（６）",V397="新加算Ⅴ（８）",V397="新加算Ⅴ（11）"),IF(AK397="○","","未入力"),"")</f>
        <v/>
      </c>
      <c r="BB397" s="1321" t="str">
        <f>IF(OR(V397="新加算Ⅴ（７）",V397="新加算Ⅴ（９）",V397="新加算Ⅴ（10）",V397="新加算Ⅴ（12）",V397="新加算Ⅴ（13）",V397="新加算Ⅴ（14）"),IF(AL397="○","","未入力"),"")</f>
        <v/>
      </c>
      <c r="BC397" s="1321" t="str">
        <f>IF(OR(V397="新加算Ⅰ",V397="新加算Ⅱ",V397="新加算Ⅲ",V397="新加算Ⅴ（１）",V397="新加算Ⅴ（３）",V397="新加算Ⅴ（８）"),IF(AM397="○","","未入力"),"")</f>
        <v/>
      </c>
      <c r="BD397" s="1588"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493" t="str">
        <f>IF(AND(U397&lt;&gt;"（参考）令和７年度の移行予定",OR(V397="新加算Ⅰ",V397="新加算Ⅴ（１）",V397="新加算Ⅴ（２）",V397="新加算Ⅴ（５）",V397="新加算Ⅴ（７）",V397="新加算Ⅴ（10）")),IF(AO397="","未入力",IF(AO397="いずれも取得していない","要件を満たさない","")),"")</f>
        <v/>
      </c>
      <c r="BF397" s="1493" t="str">
        <f>G394</f>
        <v/>
      </c>
      <c r="BG397" s="1493"/>
      <c r="BH397" s="1493"/>
    </row>
    <row r="398" spans="1:60" ht="30" customHeight="1">
      <c r="A398" s="1225">
        <v>97</v>
      </c>
      <c r="B398" s="1272" t="str">
        <f>IF(基本情報入力シート!C150="","",基本情報入力シート!C150)</f>
        <v/>
      </c>
      <c r="C398" s="1261"/>
      <c r="D398" s="1261"/>
      <c r="E398" s="1261"/>
      <c r="F398" s="1262"/>
      <c r="G398" s="1266" t="str">
        <f>IF(基本情報入力シート!M150="","",基本情報入力シート!M150)</f>
        <v/>
      </c>
      <c r="H398" s="1266" t="str">
        <f>IF(基本情報入力シート!R150="","",基本情報入力シート!R150)</f>
        <v/>
      </c>
      <c r="I398" s="1266" t="str">
        <f>IF(基本情報入力シート!W150="","",基本情報入力シート!W150)</f>
        <v/>
      </c>
      <c r="J398" s="1372" t="str">
        <f>IF(基本情報入力シート!X150="","",基本情報入力シート!X150)</f>
        <v/>
      </c>
      <c r="K398" s="1266" t="str">
        <f>IF(基本情報入力シート!Y150="","",基本情報入力シート!Y150)</f>
        <v/>
      </c>
      <c r="L398" s="1451" t="str">
        <f>IF(基本情報入力シート!AB150="","",基本情報入力シート!AB150)</f>
        <v/>
      </c>
      <c r="M398" s="1453" t="str">
        <f>IF(基本情報入力シート!AC150="","",基本情報入力シート!AC150)</f>
        <v/>
      </c>
      <c r="N398" s="647" t="str">
        <f>IF('別紙様式2-2（４・５月分）'!Q302="","",'別紙様式2-2（４・５月分）'!Q302)</f>
        <v/>
      </c>
      <c r="O398" s="1366" t="str">
        <f>IF(SUM('別紙様式2-2（４・５月分）'!R302:R304)=0,"",SUM('別紙様式2-2（４・５月分）'!R302:R304))</f>
        <v/>
      </c>
      <c r="P398" s="1380" t="str">
        <f>IFERROR(VLOOKUP('別紙様式2-2（４・５月分）'!AR302,【参考】数式用!$AT$5:$AU$22,2,FALSE),"")</f>
        <v/>
      </c>
      <c r="Q398" s="1381"/>
      <c r="R398" s="1382"/>
      <c r="S398" s="1392" t="str">
        <f>IFERROR(VLOOKUP(K398,【参考】数式用!$A$5:$AB$27,MATCH(P398,【参考】数式用!$B$4:$AB$4,0)+1,0),"")</f>
        <v/>
      </c>
      <c r="T398" s="1413" t="s">
        <v>2258</v>
      </c>
      <c r="U398" s="1562" t="str">
        <f>IF('別紙様式2-3（６月以降分）'!U398="","",'別紙様式2-3（６月以降分）'!U398)</f>
        <v/>
      </c>
      <c r="V398" s="1457" t="str">
        <f>IFERROR(VLOOKUP(K398,【参考】数式用!$A$5:$AB$27,MATCH(U398,【参考】数式用!$B$4:$AB$4,0)+1,0),"")</f>
        <v/>
      </c>
      <c r="W398" s="1350" t="s">
        <v>19</v>
      </c>
      <c r="X398" s="1534">
        <f>'別紙様式2-3（６月以降分）'!X398</f>
        <v>6</v>
      </c>
      <c r="Y398" s="1354" t="s">
        <v>10</v>
      </c>
      <c r="Z398" s="1534">
        <f>'別紙様式2-3（６月以降分）'!Z398</f>
        <v>6</v>
      </c>
      <c r="AA398" s="1354" t="s">
        <v>45</v>
      </c>
      <c r="AB398" s="1534">
        <f>'別紙様式2-3（６月以降分）'!AB398</f>
        <v>7</v>
      </c>
      <c r="AC398" s="1354" t="s">
        <v>10</v>
      </c>
      <c r="AD398" s="1534">
        <f>'別紙様式2-3（６月以降分）'!AD398</f>
        <v>3</v>
      </c>
      <c r="AE398" s="1354" t="s">
        <v>2172</v>
      </c>
      <c r="AF398" s="1354" t="s">
        <v>24</v>
      </c>
      <c r="AG398" s="1354">
        <f>IF(X398&gt;=1,(AB398*12+AD398)-(X398*12+Z398)+1,"")</f>
        <v>10</v>
      </c>
      <c r="AH398" s="1360" t="s">
        <v>38</v>
      </c>
      <c r="AI398" s="1481" t="str">
        <f>'別紙様式2-3（６月以降分）'!AI398</f>
        <v/>
      </c>
      <c r="AJ398" s="1542" t="str">
        <f>'別紙様式2-3（６月以降分）'!AJ398</f>
        <v/>
      </c>
      <c r="AK398" s="1538">
        <f>'別紙様式2-3（６月以降分）'!AK398</f>
        <v>0</v>
      </c>
      <c r="AL398" s="1540" t="str">
        <f>IF('別紙様式2-3（６月以降分）'!AL398="","",'別紙様式2-3（６月以降分）'!AL398)</f>
        <v/>
      </c>
      <c r="AM398" s="1571">
        <f>'別紙様式2-3（６月以降分）'!AM398</f>
        <v>0</v>
      </c>
      <c r="AN398" s="1573" t="str">
        <f>IF('別紙様式2-3（６月以降分）'!AN398="","",'別紙様式2-3（６月以降分）'!AN398)</f>
        <v/>
      </c>
      <c r="AO398" s="1403" t="str">
        <f>IF('別紙様式2-3（６月以降分）'!AO398="","",'別紙様式2-3（６月以降分）'!AO398)</f>
        <v/>
      </c>
      <c r="AP398" s="1502" t="str">
        <f>IF('別紙様式2-3（６月以降分）'!AP398="","",'別紙様式2-3（６月以降分）'!AP398)</f>
        <v/>
      </c>
      <c r="AQ398" s="1403" t="str">
        <f>IF('別紙様式2-3（６月以降分）'!AQ398="","",'別紙様式2-3（６月以降分）'!AQ398)</f>
        <v/>
      </c>
      <c r="AR398" s="1583" t="str">
        <f>IF('別紙様式2-3（６月以降分）'!AR398="","",'別紙様式2-3（６月以降分）'!AR398)</f>
        <v/>
      </c>
      <c r="AS398" s="1536" t="str">
        <f>IF('別紙様式2-3（６月以降分）'!AS398="","",'別紙様式2-3（６月以降分）'!AS398)</f>
        <v/>
      </c>
      <c r="AT398" s="667" t="str">
        <f t="shared" ref="AT398" si="472">IF(AV400="","",IF(V400&lt;V398,"！加算の要件上は問題ありませんが、令和６年度当初の新加算の加算率と比較して、移行後の加算率が下がる計画になっています。",""))</f>
        <v/>
      </c>
      <c r="AU398" s="674"/>
      <c r="AV398" s="1233"/>
      <c r="AW398" s="652" t="str">
        <f>IF('別紙様式2-2（４・５月分）'!O302="","",'別紙様式2-2（４・５月分）'!O302)</f>
        <v/>
      </c>
      <c r="AX398" s="1507" t="str">
        <f>IF(SUM('別紙様式2-2（４・５月分）'!P302:P304)=0,"",SUM('別紙様式2-2（４・５月分）'!P302:P304))</f>
        <v/>
      </c>
      <c r="AY398" s="1590" t="str">
        <f>IFERROR(VLOOKUP(K398,【参考】数式用!$AJ$2:$AK$24,2,FALSE),"")</f>
        <v/>
      </c>
      <c r="AZ398" s="584"/>
      <c r="BE398" s="428"/>
      <c r="BF398" s="1493" t="str">
        <f>G398</f>
        <v/>
      </c>
      <c r="BG398" s="1493"/>
      <c r="BH398" s="1493"/>
    </row>
    <row r="399" spans="1:60" ht="15" customHeight="1">
      <c r="A399" s="1226"/>
      <c r="B399" s="1272"/>
      <c r="C399" s="1261"/>
      <c r="D399" s="1261"/>
      <c r="E399" s="1261"/>
      <c r="F399" s="1262"/>
      <c r="G399" s="1266"/>
      <c r="H399" s="1266"/>
      <c r="I399" s="1266"/>
      <c r="J399" s="1372"/>
      <c r="K399" s="1266"/>
      <c r="L399" s="1451"/>
      <c r="M399" s="1453"/>
      <c r="N399" s="1370" t="str">
        <f>IF('別紙様式2-2（４・５月分）'!Q303="","",'別紙様式2-2（４・５月分）'!Q303)</f>
        <v/>
      </c>
      <c r="O399" s="1367"/>
      <c r="P399" s="1383"/>
      <c r="Q399" s="1384"/>
      <c r="R399" s="1385"/>
      <c r="S399" s="1393"/>
      <c r="T399" s="1414"/>
      <c r="U399" s="1563"/>
      <c r="V399" s="1458"/>
      <c r="W399" s="1351"/>
      <c r="X399" s="1535"/>
      <c r="Y399" s="1355"/>
      <c r="Z399" s="1535"/>
      <c r="AA399" s="1355"/>
      <c r="AB399" s="1535"/>
      <c r="AC399" s="1355"/>
      <c r="AD399" s="1535"/>
      <c r="AE399" s="1355"/>
      <c r="AF399" s="1355"/>
      <c r="AG399" s="1355"/>
      <c r="AH399" s="1361"/>
      <c r="AI399" s="1482"/>
      <c r="AJ399" s="1543"/>
      <c r="AK399" s="1539"/>
      <c r="AL399" s="1541"/>
      <c r="AM399" s="1572"/>
      <c r="AN399" s="1574"/>
      <c r="AO399" s="1404"/>
      <c r="AP399" s="1533"/>
      <c r="AQ399" s="1404"/>
      <c r="AR399" s="1584"/>
      <c r="AS399" s="1537"/>
      <c r="AT399" s="1532" t="str">
        <f t="shared" ref="AT399" si="473">IF(AV400="","",IF(OR(AB400="",AB400&lt;&gt;7,AD400="",AD400&lt;&gt;3),"！算定期間の終わりが令和７年３月になっていません。年度内の廃止予定等がなければ、算定対象月を令和７年３月にしてください。",""))</f>
        <v/>
      </c>
      <c r="AU399" s="674"/>
      <c r="AV399" s="1493"/>
      <c r="AW399" s="1518" t="str">
        <f>IF('別紙様式2-2（４・５月分）'!O303="","",'別紙様式2-2（４・５月分）'!O303)</f>
        <v/>
      </c>
      <c r="AX399" s="1507"/>
      <c r="AY399" s="1589"/>
      <c r="AZ399" s="521"/>
      <c r="BE399" s="428"/>
      <c r="BF399" s="1493" t="str">
        <f>G398</f>
        <v/>
      </c>
      <c r="BG399" s="1493"/>
      <c r="BH399" s="1493"/>
    </row>
    <row r="400" spans="1:60" ht="15" customHeight="1">
      <c r="A400" s="1240"/>
      <c r="B400" s="1272"/>
      <c r="C400" s="1261"/>
      <c r="D400" s="1261"/>
      <c r="E400" s="1261"/>
      <c r="F400" s="1262"/>
      <c r="G400" s="1266"/>
      <c r="H400" s="1266"/>
      <c r="I400" s="1266"/>
      <c r="J400" s="1372"/>
      <c r="K400" s="1266"/>
      <c r="L400" s="1451"/>
      <c r="M400" s="1453"/>
      <c r="N400" s="1371"/>
      <c r="O400" s="1368"/>
      <c r="P400" s="1390" t="s">
        <v>2179</v>
      </c>
      <c r="Q400" s="1504" t="str">
        <f>IFERROR(VLOOKUP('別紙様式2-2（４・５月分）'!AR302,【参考】数式用!$AT$5:$AV$22,3,FALSE),"")</f>
        <v/>
      </c>
      <c r="R400" s="1388" t="s">
        <v>2190</v>
      </c>
      <c r="S400" s="1394" t="str">
        <f>IFERROR(VLOOKUP(K398,【参考】数式用!$A$5:$AB$27,MATCH(Q400,【参考】数式用!$B$4:$AB$4,0)+1,0),"")</f>
        <v/>
      </c>
      <c r="T400" s="1459" t="s">
        <v>2267</v>
      </c>
      <c r="U400" s="1569"/>
      <c r="V400" s="1463" t="str">
        <f>IFERROR(VLOOKUP(K398,【参考】数式用!$A$5:$AB$27,MATCH(U400,【参考】数式用!$B$4:$AB$4,0)+1,0),"")</f>
        <v/>
      </c>
      <c r="W400" s="1465" t="s">
        <v>19</v>
      </c>
      <c r="X400" s="1564"/>
      <c r="Y400" s="1407" t="s">
        <v>10</v>
      </c>
      <c r="Z400" s="1564"/>
      <c r="AA400" s="1407" t="s">
        <v>45</v>
      </c>
      <c r="AB400" s="1564"/>
      <c r="AC400" s="1407" t="s">
        <v>10</v>
      </c>
      <c r="AD400" s="1564"/>
      <c r="AE400" s="1407" t="s">
        <v>2172</v>
      </c>
      <c r="AF400" s="1407" t="s">
        <v>24</v>
      </c>
      <c r="AG400" s="1407" t="str">
        <f>IF(X400&gt;=1,(AB400*12+AD400)-(X400*12+Z400)+1,"")</f>
        <v/>
      </c>
      <c r="AH400" s="1409" t="s">
        <v>38</v>
      </c>
      <c r="AI400" s="1411" t="str">
        <f t="shared" ref="AI400" si="474">IFERROR(ROUNDDOWN(ROUND(L398*V400,0)*M398,0)*AG400,"")</f>
        <v/>
      </c>
      <c r="AJ400" s="1577" t="str">
        <f>IFERROR(ROUNDDOWN(ROUND((L398*(V400-AX398)),0)*M398,0)*AG400,"")</f>
        <v/>
      </c>
      <c r="AK400" s="1494" t="str">
        <f>IFERROR(ROUNDDOWN(ROUNDDOWN(ROUND(L398*VLOOKUP(K398,【参考】数式用!$A$5:$AB$27,MATCH("新加算Ⅳ",【参考】数式用!$B$4:$AB$4,0)+1,0),0)*M398,0)*AG400*0.5,0),"")</f>
        <v/>
      </c>
      <c r="AL400" s="1579"/>
      <c r="AM400" s="1585" t="str">
        <f>IFERROR(IF('別紙様式2-2（４・５月分）'!Q304="ベア加算","", IF(OR(U400="新加算Ⅰ",U400="新加算Ⅱ",U400="新加算Ⅲ",U400="新加算Ⅳ"),ROUNDDOWN(ROUND(L398*VLOOKUP(K398,【参考】数式用!$A$5:$I$27,MATCH("ベア加算",【参考】数式用!$B$4:$I$4,0)+1,0),0)*M398,0)*AG400,"")),"")</f>
        <v/>
      </c>
      <c r="AN400" s="1548"/>
      <c r="AO400" s="1554"/>
      <c r="AP400" s="1552"/>
      <c r="AQ400" s="1554"/>
      <c r="AR400" s="1556"/>
      <c r="AS400" s="1558"/>
      <c r="AT400" s="1532"/>
      <c r="AU400" s="542"/>
      <c r="AV400" s="1493" t="str">
        <f t="shared" ref="AV400" si="475">IF(OR(AB398&lt;&gt;7,AD398&lt;&gt;3),"V列に色付け","")</f>
        <v/>
      </c>
      <c r="AW400" s="1518"/>
      <c r="AX400" s="1507"/>
      <c r="AY400" s="671"/>
      <c r="AZ400" s="1321" t="str">
        <f>IF(AM400&lt;&gt;"",IF(AN400="○","入力済","未入力"),"")</f>
        <v/>
      </c>
      <c r="BA400" s="1321"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321" t="str">
        <f>IF(OR(U400="新加算Ⅴ（７）",U400="新加算Ⅴ（９）",U400="新加算Ⅴ（10）",U400="新加算Ⅴ（12）",U400="新加算Ⅴ（13）",U400="新加算Ⅴ（14）"),IF(OR(AP400="○",AP400="令和６年度中に満たす"),"入力済","未入力"),"")</f>
        <v/>
      </c>
      <c r="BC400" s="1321" t="str">
        <f>IF(OR(U400="新加算Ⅰ",U400="新加算Ⅱ",U400="新加算Ⅲ",U400="新加算Ⅴ（１）",U400="新加算Ⅴ（３）",U400="新加算Ⅴ（８）"),IF(OR(AQ400="○",AQ400="令和６年度中に満たす"),"入力済","未入力"),"")</f>
        <v/>
      </c>
      <c r="BD400" s="1588"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493" t="str">
        <f>IF(OR(U400="新加算Ⅰ",U400="新加算Ⅴ（１）",U400="新加算Ⅴ（２）",U400="新加算Ⅴ（５）",U400="新加算Ⅴ（７）",U400="新加算Ⅴ（10）"),IF(AS400="","未入力","入力済"),"")</f>
        <v/>
      </c>
      <c r="BF400" s="1493" t="str">
        <f>G398</f>
        <v/>
      </c>
      <c r="BG400" s="1493"/>
      <c r="BH400" s="1493"/>
    </row>
    <row r="401" spans="1:60" ht="30" customHeight="1" thickBot="1">
      <c r="A401" s="1227"/>
      <c r="B401" s="1376"/>
      <c r="C401" s="1377"/>
      <c r="D401" s="1377"/>
      <c r="E401" s="1377"/>
      <c r="F401" s="1378"/>
      <c r="G401" s="1267"/>
      <c r="H401" s="1267"/>
      <c r="I401" s="1267"/>
      <c r="J401" s="1373"/>
      <c r="K401" s="1267"/>
      <c r="L401" s="1452"/>
      <c r="M401" s="1454"/>
      <c r="N401" s="650" t="str">
        <f>IF('別紙様式2-2（４・５月分）'!Q304="","",'別紙様式2-2（４・５月分）'!Q304)</f>
        <v/>
      </c>
      <c r="O401" s="1369"/>
      <c r="P401" s="1391"/>
      <c r="Q401" s="1505"/>
      <c r="R401" s="1389"/>
      <c r="S401" s="1395"/>
      <c r="T401" s="1460"/>
      <c r="U401" s="1570"/>
      <c r="V401" s="1464"/>
      <c r="W401" s="1466"/>
      <c r="X401" s="1565"/>
      <c r="Y401" s="1408"/>
      <c r="Z401" s="1565"/>
      <c r="AA401" s="1408"/>
      <c r="AB401" s="1565"/>
      <c r="AC401" s="1408"/>
      <c r="AD401" s="1565"/>
      <c r="AE401" s="1408"/>
      <c r="AF401" s="1408"/>
      <c r="AG401" s="1408"/>
      <c r="AH401" s="1410"/>
      <c r="AI401" s="1412"/>
      <c r="AJ401" s="1578"/>
      <c r="AK401" s="1495"/>
      <c r="AL401" s="1580"/>
      <c r="AM401" s="1586"/>
      <c r="AN401" s="1549"/>
      <c r="AO401" s="1555"/>
      <c r="AP401" s="1553"/>
      <c r="AQ401" s="1555"/>
      <c r="AR401" s="1557"/>
      <c r="AS401" s="1559"/>
      <c r="AT401" s="672" t="str">
        <f t="shared" ref="AT401" si="476">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42"/>
      <c r="AV401" s="1493"/>
      <c r="AW401" s="652" t="str">
        <f>IF('別紙様式2-2（４・５月分）'!O304="","",'別紙様式2-2（４・５月分）'!O304)</f>
        <v/>
      </c>
      <c r="AX401" s="1507"/>
      <c r="AY401" s="673"/>
      <c r="AZ401" s="1321" t="str">
        <f>IF(OR(U401="新加算Ⅰ",U401="新加算Ⅱ",U401="新加算Ⅲ",U401="新加算Ⅳ",U401="新加算Ⅴ（１）",U401="新加算Ⅴ（２）",U401="新加算Ⅴ（３）",U401="新加算ⅠⅤ（４）",U401="新加算Ⅴ（５）",U401="新加算Ⅴ（６）",U401="新加算Ⅴ（８）",U401="新加算Ⅴ（11）"),IF(AJ401="○","","未入力"),"")</f>
        <v/>
      </c>
      <c r="BA401" s="1321" t="str">
        <f>IF(OR(V401="新加算Ⅰ",V401="新加算Ⅱ",V401="新加算Ⅲ",V401="新加算Ⅳ",V401="新加算Ⅴ（１）",V401="新加算Ⅴ（２）",V401="新加算Ⅴ（３）",V401="新加算ⅠⅤ（４）",V401="新加算Ⅴ（５）",V401="新加算Ⅴ（６）",V401="新加算Ⅴ（８）",V401="新加算Ⅴ（11）"),IF(AK401="○","","未入力"),"")</f>
        <v/>
      </c>
      <c r="BB401" s="1321" t="str">
        <f>IF(OR(V401="新加算Ⅴ（７）",V401="新加算Ⅴ（９）",V401="新加算Ⅴ（10）",V401="新加算Ⅴ（12）",V401="新加算Ⅴ（13）",V401="新加算Ⅴ（14）"),IF(AL401="○","","未入力"),"")</f>
        <v/>
      </c>
      <c r="BC401" s="1321" t="str">
        <f>IF(OR(V401="新加算Ⅰ",V401="新加算Ⅱ",V401="新加算Ⅲ",V401="新加算Ⅴ（１）",V401="新加算Ⅴ（３）",V401="新加算Ⅴ（８）"),IF(AM401="○","","未入力"),"")</f>
        <v/>
      </c>
      <c r="BD401" s="1588"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493" t="str">
        <f>IF(AND(U401&lt;&gt;"（参考）令和７年度の移行予定",OR(V401="新加算Ⅰ",V401="新加算Ⅴ（１）",V401="新加算Ⅴ（２）",V401="新加算Ⅴ（５）",V401="新加算Ⅴ（７）",V401="新加算Ⅴ（10）")),IF(AO401="","未入力",IF(AO401="いずれも取得していない","要件を満たさない","")),"")</f>
        <v/>
      </c>
      <c r="BF401" s="1493" t="str">
        <f>G398</f>
        <v/>
      </c>
      <c r="BG401" s="1493"/>
      <c r="BH401" s="1493"/>
    </row>
    <row r="402" spans="1:60" ht="30" customHeight="1">
      <c r="A402" s="1241">
        <v>98</v>
      </c>
      <c r="B402" s="1271" t="str">
        <f>IF(基本情報入力シート!C151="","",基本情報入力シート!C151)</f>
        <v/>
      </c>
      <c r="C402" s="1259"/>
      <c r="D402" s="1259"/>
      <c r="E402" s="1259"/>
      <c r="F402" s="1260"/>
      <c r="G402" s="1265" t="str">
        <f>IF(基本情報入力シート!M151="","",基本情報入力シート!M151)</f>
        <v/>
      </c>
      <c r="H402" s="1265" t="str">
        <f>IF(基本情報入力シート!R151="","",基本情報入力シート!R151)</f>
        <v/>
      </c>
      <c r="I402" s="1265" t="str">
        <f>IF(基本情報入力シート!W151="","",基本情報入力シート!W151)</f>
        <v/>
      </c>
      <c r="J402" s="1379" t="str">
        <f>IF(基本情報入力シート!X151="","",基本情報入力シート!X151)</f>
        <v/>
      </c>
      <c r="K402" s="1265" t="str">
        <f>IF(基本情報入力シート!Y151="","",基本情報入力シート!Y151)</f>
        <v/>
      </c>
      <c r="L402" s="1450" t="str">
        <f>IF(基本情報入力シート!AB151="","",基本情報入力シート!AB151)</f>
        <v/>
      </c>
      <c r="M402" s="1447" t="str">
        <f>IF(基本情報入力シート!AC151="","",基本情報入力シート!AC151)</f>
        <v/>
      </c>
      <c r="N402" s="647" t="str">
        <f>IF('別紙様式2-2（４・５月分）'!Q305="","",'別紙様式2-2（４・５月分）'!Q305)</f>
        <v/>
      </c>
      <c r="O402" s="1366" t="str">
        <f>IF(SUM('別紙様式2-2（４・５月分）'!R305:R307)=0,"",SUM('別紙様式2-2（４・５月分）'!R305:R307))</f>
        <v/>
      </c>
      <c r="P402" s="1380" t="str">
        <f>IFERROR(VLOOKUP('別紙様式2-2（４・５月分）'!AR305,【参考】数式用!$AT$5:$AU$22,2,FALSE),"")</f>
        <v/>
      </c>
      <c r="Q402" s="1381"/>
      <c r="R402" s="1382"/>
      <c r="S402" s="1392" t="str">
        <f>IFERROR(VLOOKUP(K402,【参考】数式用!$A$5:$AB$27,MATCH(P402,【参考】数式用!$B$4:$AB$4,0)+1,0),"")</f>
        <v/>
      </c>
      <c r="T402" s="1413" t="s">
        <v>2258</v>
      </c>
      <c r="U402" s="1562" t="str">
        <f>IF('別紙様式2-3（６月以降分）'!U402="","",'別紙様式2-3（６月以降分）'!U402)</f>
        <v/>
      </c>
      <c r="V402" s="1457" t="str">
        <f>IFERROR(VLOOKUP(K402,【参考】数式用!$A$5:$AB$27,MATCH(U402,【参考】数式用!$B$4:$AB$4,0)+1,0),"")</f>
        <v/>
      </c>
      <c r="W402" s="1350" t="s">
        <v>19</v>
      </c>
      <c r="X402" s="1534">
        <f>'別紙様式2-3（６月以降分）'!X402</f>
        <v>6</v>
      </c>
      <c r="Y402" s="1354" t="s">
        <v>10</v>
      </c>
      <c r="Z402" s="1534">
        <f>'別紙様式2-3（６月以降分）'!Z402</f>
        <v>6</v>
      </c>
      <c r="AA402" s="1354" t="s">
        <v>45</v>
      </c>
      <c r="AB402" s="1534">
        <f>'別紙様式2-3（６月以降分）'!AB402</f>
        <v>7</v>
      </c>
      <c r="AC402" s="1354" t="s">
        <v>10</v>
      </c>
      <c r="AD402" s="1534">
        <f>'別紙様式2-3（６月以降分）'!AD402</f>
        <v>3</v>
      </c>
      <c r="AE402" s="1354" t="s">
        <v>2172</v>
      </c>
      <c r="AF402" s="1354" t="s">
        <v>24</v>
      </c>
      <c r="AG402" s="1354">
        <f>IF(X402&gt;=1,(AB402*12+AD402)-(X402*12+Z402)+1,"")</f>
        <v>10</v>
      </c>
      <c r="AH402" s="1360" t="s">
        <v>38</v>
      </c>
      <c r="AI402" s="1481" t="str">
        <f>'別紙様式2-3（６月以降分）'!AI402</f>
        <v/>
      </c>
      <c r="AJ402" s="1542" t="str">
        <f>'別紙様式2-3（６月以降分）'!AJ402</f>
        <v/>
      </c>
      <c r="AK402" s="1538">
        <f>'別紙様式2-3（６月以降分）'!AK402</f>
        <v>0</v>
      </c>
      <c r="AL402" s="1540" t="str">
        <f>IF('別紙様式2-3（６月以降分）'!AL402="","",'別紙様式2-3（６月以降分）'!AL402)</f>
        <v/>
      </c>
      <c r="AM402" s="1571">
        <f>'別紙様式2-3（６月以降分）'!AM402</f>
        <v>0</v>
      </c>
      <c r="AN402" s="1573" t="str">
        <f>IF('別紙様式2-3（６月以降分）'!AN402="","",'別紙様式2-3（６月以降分）'!AN402)</f>
        <v/>
      </c>
      <c r="AO402" s="1403" t="str">
        <f>IF('別紙様式2-3（６月以降分）'!AO402="","",'別紙様式2-3（６月以降分）'!AO402)</f>
        <v/>
      </c>
      <c r="AP402" s="1502" t="str">
        <f>IF('別紙様式2-3（６月以降分）'!AP402="","",'別紙様式2-3（６月以降分）'!AP402)</f>
        <v/>
      </c>
      <c r="AQ402" s="1403" t="str">
        <f>IF('別紙様式2-3（６月以降分）'!AQ402="","",'別紙様式2-3（６月以降分）'!AQ402)</f>
        <v/>
      </c>
      <c r="AR402" s="1583" t="str">
        <f>IF('別紙様式2-3（６月以降分）'!AR402="","",'別紙様式2-3（６月以降分）'!AR402)</f>
        <v/>
      </c>
      <c r="AS402" s="1536" t="str">
        <f>IF('別紙様式2-3（６月以降分）'!AS402="","",'別紙様式2-3（６月以降分）'!AS402)</f>
        <v/>
      </c>
      <c r="AT402" s="667" t="str">
        <f t="shared" ref="AT402" si="477">IF(AV404="","",IF(V404&lt;V402,"！加算の要件上は問題ありませんが、令和６年度当初の新加算の加算率と比較して、移行後の加算率が下がる計画になっています。",""))</f>
        <v/>
      </c>
      <c r="AU402" s="674"/>
      <c r="AV402" s="1233"/>
      <c r="AW402" s="652" t="str">
        <f>IF('別紙様式2-2（４・５月分）'!O305="","",'別紙様式2-2（４・５月分）'!O305)</f>
        <v/>
      </c>
      <c r="AX402" s="1507" t="str">
        <f>IF(SUM('別紙様式2-2（４・５月分）'!P305:P307)=0,"",SUM('別紙様式2-2（４・５月分）'!P305:P307))</f>
        <v/>
      </c>
      <c r="AY402" s="1589" t="str">
        <f>IFERROR(VLOOKUP(K402,【参考】数式用!$AJ$2:$AK$24,2,FALSE),"")</f>
        <v/>
      </c>
      <c r="AZ402" s="584"/>
      <c r="BE402" s="428"/>
      <c r="BF402" s="1493" t="str">
        <f>G402</f>
        <v/>
      </c>
      <c r="BG402" s="1493"/>
      <c r="BH402" s="1493"/>
    </row>
    <row r="403" spans="1:60" ht="15" customHeight="1">
      <c r="A403" s="1226"/>
      <c r="B403" s="1272"/>
      <c r="C403" s="1261"/>
      <c r="D403" s="1261"/>
      <c r="E403" s="1261"/>
      <c r="F403" s="1262"/>
      <c r="G403" s="1266"/>
      <c r="H403" s="1266"/>
      <c r="I403" s="1266"/>
      <c r="J403" s="1372"/>
      <c r="K403" s="1266"/>
      <c r="L403" s="1451"/>
      <c r="M403" s="1448"/>
      <c r="N403" s="1370" t="str">
        <f>IF('別紙様式2-2（４・５月分）'!Q306="","",'別紙様式2-2（４・５月分）'!Q306)</f>
        <v/>
      </c>
      <c r="O403" s="1367"/>
      <c r="P403" s="1383"/>
      <c r="Q403" s="1384"/>
      <c r="R403" s="1385"/>
      <c r="S403" s="1393"/>
      <c r="T403" s="1414"/>
      <c r="U403" s="1563"/>
      <c r="V403" s="1458"/>
      <c r="W403" s="1351"/>
      <c r="X403" s="1535"/>
      <c r="Y403" s="1355"/>
      <c r="Z403" s="1535"/>
      <c r="AA403" s="1355"/>
      <c r="AB403" s="1535"/>
      <c r="AC403" s="1355"/>
      <c r="AD403" s="1535"/>
      <c r="AE403" s="1355"/>
      <c r="AF403" s="1355"/>
      <c r="AG403" s="1355"/>
      <c r="AH403" s="1361"/>
      <c r="AI403" s="1482"/>
      <c r="AJ403" s="1543"/>
      <c r="AK403" s="1539"/>
      <c r="AL403" s="1541"/>
      <c r="AM403" s="1572"/>
      <c r="AN403" s="1574"/>
      <c r="AO403" s="1404"/>
      <c r="AP403" s="1533"/>
      <c r="AQ403" s="1404"/>
      <c r="AR403" s="1584"/>
      <c r="AS403" s="1537"/>
      <c r="AT403" s="1532" t="str">
        <f t="shared" ref="AT403" si="478">IF(AV404="","",IF(OR(AB404="",AB404&lt;&gt;7,AD404="",AD404&lt;&gt;3),"！算定期間の終わりが令和７年３月になっていません。年度内の廃止予定等がなければ、算定対象月を令和７年３月にしてください。",""))</f>
        <v/>
      </c>
      <c r="AU403" s="674"/>
      <c r="AV403" s="1493"/>
      <c r="AW403" s="1518" t="str">
        <f>IF('別紙様式2-2（４・５月分）'!O306="","",'別紙様式2-2（４・５月分）'!O306)</f>
        <v/>
      </c>
      <c r="AX403" s="1507"/>
      <c r="AY403" s="1589"/>
      <c r="AZ403" s="521"/>
      <c r="BE403" s="428"/>
      <c r="BF403" s="1493" t="str">
        <f>G402</f>
        <v/>
      </c>
      <c r="BG403" s="1493"/>
      <c r="BH403" s="1493"/>
    </row>
    <row r="404" spans="1:60" ht="15" customHeight="1">
      <c r="A404" s="1240"/>
      <c r="B404" s="1272"/>
      <c r="C404" s="1261"/>
      <c r="D404" s="1261"/>
      <c r="E404" s="1261"/>
      <c r="F404" s="1262"/>
      <c r="G404" s="1266"/>
      <c r="H404" s="1266"/>
      <c r="I404" s="1266"/>
      <c r="J404" s="1372"/>
      <c r="K404" s="1266"/>
      <c r="L404" s="1451"/>
      <c r="M404" s="1448"/>
      <c r="N404" s="1371"/>
      <c r="O404" s="1368"/>
      <c r="P404" s="1390" t="s">
        <v>2179</v>
      </c>
      <c r="Q404" s="1504" t="str">
        <f>IFERROR(VLOOKUP('別紙様式2-2（４・５月分）'!AR305,【参考】数式用!$AT$5:$AV$22,3,FALSE),"")</f>
        <v/>
      </c>
      <c r="R404" s="1388" t="s">
        <v>2190</v>
      </c>
      <c r="S404" s="1396" t="str">
        <f>IFERROR(VLOOKUP(K402,【参考】数式用!$A$5:$AB$27,MATCH(Q404,【参考】数式用!$B$4:$AB$4,0)+1,0),"")</f>
        <v/>
      </c>
      <c r="T404" s="1459" t="s">
        <v>2267</v>
      </c>
      <c r="U404" s="1569"/>
      <c r="V404" s="1463" t="str">
        <f>IFERROR(VLOOKUP(K402,【参考】数式用!$A$5:$AB$27,MATCH(U404,【参考】数式用!$B$4:$AB$4,0)+1,0),"")</f>
        <v/>
      </c>
      <c r="W404" s="1465" t="s">
        <v>19</v>
      </c>
      <c r="X404" s="1564"/>
      <c r="Y404" s="1407" t="s">
        <v>10</v>
      </c>
      <c r="Z404" s="1564"/>
      <c r="AA404" s="1407" t="s">
        <v>45</v>
      </c>
      <c r="AB404" s="1564"/>
      <c r="AC404" s="1407" t="s">
        <v>10</v>
      </c>
      <c r="AD404" s="1564"/>
      <c r="AE404" s="1407" t="s">
        <v>2172</v>
      </c>
      <c r="AF404" s="1407" t="s">
        <v>24</v>
      </c>
      <c r="AG404" s="1407" t="str">
        <f>IF(X404&gt;=1,(AB404*12+AD404)-(X404*12+Z404)+1,"")</f>
        <v/>
      </c>
      <c r="AH404" s="1409" t="s">
        <v>38</v>
      </c>
      <c r="AI404" s="1411" t="str">
        <f t="shared" ref="AI404" si="479">IFERROR(ROUNDDOWN(ROUND(L402*V404,0)*M402,0)*AG404,"")</f>
        <v/>
      </c>
      <c r="AJ404" s="1577" t="str">
        <f>IFERROR(ROUNDDOWN(ROUND((L402*(V404-AX402)),0)*M402,0)*AG404,"")</f>
        <v/>
      </c>
      <c r="AK404" s="1494" t="str">
        <f>IFERROR(ROUNDDOWN(ROUNDDOWN(ROUND(L402*VLOOKUP(K402,【参考】数式用!$A$5:$AB$27,MATCH("新加算Ⅳ",【参考】数式用!$B$4:$AB$4,0)+1,0),0)*M402,0)*AG404*0.5,0),"")</f>
        <v/>
      </c>
      <c r="AL404" s="1579"/>
      <c r="AM404" s="1585" t="str">
        <f>IFERROR(IF('別紙様式2-2（４・５月分）'!Q307="ベア加算","", IF(OR(U404="新加算Ⅰ",U404="新加算Ⅱ",U404="新加算Ⅲ",U404="新加算Ⅳ"),ROUNDDOWN(ROUND(L402*VLOOKUP(K402,【参考】数式用!$A$5:$I$27,MATCH("ベア加算",【参考】数式用!$B$4:$I$4,0)+1,0),0)*M402,0)*AG404,"")),"")</f>
        <v/>
      </c>
      <c r="AN404" s="1548"/>
      <c r="AO404" s="1554"/>
      <c r="AP404" s="1552"/>
      <c r="AQ404" s="1554"/>
      <c r="AR404" s="1556"/>
      <c r="AS404" s="1558"/>
      <c r="AT404" s="1532"/>
      <c r="AU404" s="542"/>
      <c r="AV404" s="1493" t="str">
        <f t="shared" ref="AV404" si="480">IF(OR(AB402&lt;&gt;7,AD402&lt;&gt;3),"V列に色付け","")</f>
        <v/>
      </c>
      <c r="AW404" s="1518"/>
      <c r="AX404" s="1507"/>
      <c r="AY404" s="671"/>
      <c r="AZ404" s="1321" t="str">
        <f>IF(AM404&lt;&gt;"",IF(AN404="○","入力済","未入力"),"")</f>
        <v/>
      </c>
      <c r="BA404" s="1321"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321" t="str">
        <f>IF(OR(U404="新加算Ⅴ（７）",U404="新加算Ⅴ（９）",U404="新加算Ⅴ（10）",U404="新加算Ⅴ（12）",U404="新加算Ⅴ（13）",U404="新加算Ⅴ（14）"),IF(OR(AP404="○",AP404="令和６年度中に満たす"),"入力済","未入力"),"")</f>
        <v/>
      </c>
      <c r="BC404" s="1321" t="str">
        <f>IF(OR(U404="新加算Ⅰ",U404="新加算Ⅱ",U404="新加算Ⅲ",U404="新加算Ⅴ（１）",U404="新加算Ⅴ（３）",U404="新加算Ⅴ（８）"),IF(OR(AQ404="○",AQ404="令和６年度中に満たす"),"入力済","未入力"),"")</f>
        <v/>
      </c>
      <c r="BD404" s="1588"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493" t="str">
        <f>IF(OR(U404="新加算Ⅰ",U404="新加算Ⅴ（１）",U404="新加算Ⅴ（２）",U404="新加算Ⅴ（５）",U404="新加算Ⅴ（７）",U404="新加算Ⅴ（10）"),IF(AS404="","未入力","入力済"),"")</f>
        <v/>
      </c>
      <c r="BF404" s="1493" t="str">
        <f>G402</f>
        <v/>
      </c>
      <c r="BG404" s="1493"/>
      <c r="BH404" s="1493"/>
    </row>
    <row r="405" spans="1:60" ht="30" customHeight="1" thickBot="1">
      <c r="A405" s="1227"/>
      <c r="B405" s="1376"/>
      <c r="C405" s="1377"/>
      <c r="D405" s="1377"/>
      <c r="E405" s="1377"/>
      <c r="F405" s="1378"/>
      <c r="G405" s="1267"/>
      <c r="H405" s="1267"/>
      <c r="I405" s="1267"/>
      <c r="J405" s="1373"/>
      <c r="K405" s="1267"/>
      <c r="L405" s="1452"/>
      <c r="M405" s="1449"/>
      <c r="N405" s="650" t="str">
        <f>IF('別紙様式2-2（４・５月分）'!Q307="","",'別紙様式2-2（４・５月分）'!Q307)</f>
        <v/>
      </c>
      <c r="O405" s="1369"/>
      <c r="P405" s="1391"/>
      <c r="Q405" s="1505"/>
      <c r="R405" s="1389"/>
      <c r="S405" s="1395"/>
      <c r="T405" s="1460"/>
      <c r="U405" s="1570"/>
      <c r="V405" s="1464"/>
      <c r="W405" s="1466"/>
      <c r="X405" s="1565"/>
      <c r="Y405" s="1408"/>
      <c r="Z405" s="1565"/>
      <c r="AA405" s="1408"/>
      <c r="AB405" s="1565"/>
      <c r="AC405" s="1408"/>
      <c r="AD405" s="1565"/>
      <c r="AE405" s="1408"/>
      <c r="AF405" s="1408"/>
      <c r="AG405" s="1408"/>
      <c r="AH405" s="1410"/>
      <c r="AI405" s="1412"/>
      <c r="AJ405" s="1578"/>
      <c r="AK405" s="1495"/>
      <c r="AL405" s="1580"/>
      <c r="AM405" s="1586"/>
      <c r="AN405" s="1549"/>
      <c r="AO405" s="1555"/>
      <c r="AP405" s="1553"/>
      <c r="AQ405" s="1555"/>
      <c r="AR405" s="1557"/>
      <c r="AS405" s="1559"/>
      <c r="AT405" s="672" t="str">
        <f t="shared" ref="AT405" si="481">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42"/>
      <c r="AV405" s="1493"/>
      <c r="AW405" s="652" t="str">
        <f>IF('別紙様式2-2（４・５月分）'!O307="","",'別紙様式2-2（４・５月分）'!O307)</f>
        <v/>
      </c>
      <c r="AX405" s="1507"/>
      <c r="AY405" s="673"/>
      <c r="AZ405" s="1321" t="str">
        <f>IF(OR(U405="新加算Ⅰ",U405="新加算Ⅱ",U405="新加算Ⅲ",U405="新加算Ⅳ",U405="新加算Ⅴ（１）",U405="新加算Ⅴ（２）",U405="新加算Ⅴ（３）",U405="新加算ⅠⅤ（４）",U405="新加算Ⅴ（５）",U405="新加算Ⅴ（６）",U405="新加算Ⅴ（８）",U405="新加算Ⅴ（11）"),IF(AJ405="○","","未入力"),"")</f>
        <v/>
      </c>
      <c r="BA405" s="1321" t="str">
        <f>IF(OR(V405="新加算Ⅰ",V405="新加算Ⅱ",V405="新加算Ⅲ",V405="新加算Ⅳ",V405="新加算Ⅴ（１）",V405="新加算Ⅴ（２）",V405="新加算Ⅴ（３）",V405="新加算ⅠⅤ（４）",V405="新加算Ⅴ（５）",V405="新加算Ⅴ（６）",V405="新加算Ⅴ（８）",V405="新加算Ⅴ（11）"),IF(AK405="○","","未入力"),"")</f>
        <v/>
      </c>
      <c r="BB405" s="1321" t="str">
        <f>IF(OR(V405="新加算Ⅴ（７）",V405="新加算Ⅴ（９）",V405="新加算Ⅴ（10）",V405="新加算Ⅴ（12）",V405="新加算Ⅴ（13）",V405="新加算Ⅴ（14）"),IF(AL405="○","","未入力"),"")</f>
        <v/>
      </c>
      <c r="BC405" s="1321" t="str">
        <f>IF(OR(V405="新加算Ⅰ",V405="新加算Ⅱ",V405="新加算Ⅲ",V405="新加算Ⅴ（１）",V405="新加算Ⅴ（３）",V405="新加算Ⅴ（８）"),IF(AM405="○","","未入力"),"")</f>
        <v/>
      </c>
      <c r="BD405" s="1588"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493" t="str">
        <f>IF(AND(U405&lt;&gt;"（参考）令和７年度の移行予定",OR(V405="新加算Ⅰ",V405="新加算Ⅴ（１）",V405="新加算Ⅴ（２）",V405="新加算Ⅴ（５）",V405="新加算Ⅴ（７）",V405="新加算Ⅴ（10）")),IF(AO405="","未入力",IF(AO405="いずれも取得していない","要件を満たさない","")),"")</f>
        <v/>
      </c>
      <c r="BF405" s="1493" t="str">
        <f>G402</f>
        <v/>
      </c>
      <c r="BG405" s="1493"/>
      <c r="BH405" s="1493"/>
    </row>
    <row r="406" spans="1:60" ht="30" customHeight="1">
      <c r="A406" s="1225">
        <v>99</v>
      </c>
      <c r="B406" s="1272" t="str">
        <f>IF(基本情報入力シート!C152="","",基本情報入力シート!C152)</f>
        <v/>
      </c>
      <c r="C406" s="1261"/>
      <c r="D406" s="1261"/>
      <c r="E406" s="1261"/>
      <c r="F406" s="1262"/>
      <c r="G406" s="1266" t="str">
        <f>IF(基本情報入力シート!M152="","",基本情報入力シート!M152)</f>
        <v/>
      </c>
      <c r="H406" s="1266" t="str">
        <f>IF(基本情報入力シート!R152="","",基本情報入力シート!R152)</f>
        <v/>
      </c>
      <c r="I406" s="1266" t="str">
        <f>IF(基本情報入力シート!W152="","",基本情報入力シート!W152)</f>
        <v/>
      </c>
      <c r="J406" s="1372" t="str">
        <f>IF(基本情報入力シート!X152="","",基本情報入力シート!X152)</f>
        <v/>
      </c>
      <c r="K406" s="1266" t="str">
        <f>IF(基本情報入力シート!Y152="","",基本情報入力シート!Y152)</f>
        <v/>
      </c>
      <c r="L406" s="1451" t="str">
        <f>IF(基本情報入力シート!AB152="","",基本情報入力シート!AB152)</f>
        <v/>
      </c>
      <c r="M406" s="1453" t="str">
        <f>IF(基本情報入力シート!AC152="","",基本情報入力シート!AC152)</f>
        <v/>
      </c>
      <c r="N406" s="647" t="str">
        <f>IF('別紙様式2-2（４・５月分）'!Q308="","",'別紙様式2-2（４・５月分）'!Q308)</f>
        <v/>
      </c>
      <c r="O406" s="1366" t="str">
        <f>IF(SUM('別紙様式2-2（４・５月分）'!R308:R310)=0,"",SUM('別紙様式2-2（４・５月分）'!R308:R310))</f>
        <v/>
      </c>
      <c r="P406" s="1380" t="str">
        <f>IFERROR(VLOOKUP('別紙様式2-2（４・５月分）'!AR308,【参考】数式用!$AT$5:$AU$22,2,FALSE),"")</f>
        <v/>
      </c>
      <c r="Q406" s="1381"/>
      <c r="R406" s="1382"/>
      <c r="S406" s="1392" t="str">
        <f>IFERROR(VLOOKUP(K406,【参考】数式用!$A$5:$AB$27,MATCH(P406,【参考】数式用!$B$4:$AB$4,0)+1,0),"")</f>
        <v/>
      </c>
      <c r="T406" s="1413" t="s">
        <v>2258</v>
      </c>
      <c r="U406" s="1562" t="str">
        <f>IF('別紙様式2-3（６月以降分）'!U406="","",'別紙様式2-3（６月以降分）'!U406)</f>
        <v/>
      </c>
      <c r="V406" s="1457" t="str">
        <f>IFERROR(VLOOKUP(K406,【参考】数式用!$A$5:$AB$27,MATCH(U406,【参考】数式用!$B$4:$AB$4,0)+1,0),"")</f>
        <v/>
      </c>
      <c r="W406" s="1350" t="s">
        <v>19</v>
      </c>
      <c r="X406" s="1534">
        <f>'別紙様式2-3（６月以降分）'!X406</f>
        <v>6</v>
      </c>
      <c r="Y406" s="1354" t="s">
        <v>10</v>
      </c>
      <c r="Z406" s="1534">
        <f>'別紙様式2-3（６月以降分）'!Z406</f>
        <v>6</v>
      </c>
      <c r="AA406" s="1354" t="s">
        <v>45</v>
      </c>
      <c r="AB406" s="1534">
        <f>'別紙様式2-3（６月以降分）'!AB406</f>
        <v>7</v>
      </c>
      <c r="AC406" s="1354" t="s">
        <v>10</v>
      </c>
      <c r="AD406" s="1534">
        <f>'別紙様式2-3（６月以降分）'!AD406</f>
        <v>3</v>
      </c>
      <c r="AE406" s="1354" t="s">
        <v>2172</v>
      </c>
      <c r="AF406" s="1354" t="s">
        <v>24</v>
      </c>
      <c r="AG406" s="1354">
        <f>IF(X406&gt;=1,(AB406*12+AD406)-(X406*12+Z406)+1,"")</f>
        <v>10</v>
      </c>
      <c r="AH406" s="1360" t="s">
        <v>38</v>
      </c>
      <c r="AI406" s="1481" t="str">
        <f>'別紙様式2-3（６月以降分）'!AI406</f>
        <v/>
      </c>
      <c r="AJ406" s="1542" t="str">
        <f>'別紙様式2-3（６月以降分）'!AJ406</f>
        <v/>
      </c>
      <c r="AK406" s="1538">
        <f>'別紙様式2-3（６月以降分）'!AK406</f>
        <v>0</v>
      </c>
      <c r="AL406" s="1540" t="str">
        <f>IF('別紙様式2-3（６月以降分）'!AL406="","",'別紙様式2-3（６月以降分）'!AL406)</f>
        <v/>
      </c>
      <c r="AM406" s="1571">
        <f>'別紙様式2-3（６月以降分）'!AM406</f>
        <v>0</v>
      </c>
      <c r="AN406" s="1573" t="str">
        <f>IF('別紙様式2-3（６月以降分）'!AN406="","",'別紙様式2-3（６月以降分）'!AN406)</f>
        <v/>
      </c>
      <c r="AO406" s="1403" t="str">
        <f>IF('別紙様式2-3（６月以降分）'!AO406="","",'別紙様式2-3（６月以降分）'!AO406)</f>
        <v/>
      </c>
      <c r="AP406" s="1502" t="str">
        <f>IF('別紙様式2-3（６月以降分）'!AP406="","",'別紙様式2-3（６月以降分）'!AP406)</f>
        <v/>
      </c>
      <c r="AQ406" s="1403" t="str">
        <f>IF('別紙様式2-3（６月以降分）'!AQ406="","",'別紙様式2-3（６月以降分）'!AQ406)</f>
        <v/>
      </c>
      <c r="AR406" s="1583" t="str">
        <f>IF('別紙様式2-3（６月以降分）'!AR406="","",'別紙様式2-3（６月以降分）'!AR406)</f>
        <v/>
      </c>
      <c r="AS406" s="1536" t="str">
        <f>IF('別紙様式2-3（６月以降分）'!AS406="","",'別紙様式2-3（６月以降分）'!AS406)</f>
        <v/>
      </c>
      <c r="AT406" s="667" t="str">
        <f t="shared" ref="AT406" si="482">IF(AV408="","",IF(V408&lt;V406,"！加算の要件上は問題ありませんが、令和６年度当初の新加算の加算率と比較して、移行後の加算率が下がる計画になっています。",""))</f>
        <v/>
      </c>
      <c r="AU406" s="674"/>
      <c r="AV406" s="1233"/>
      <c r="AW406" s="652" t="str">
        <f>IF('別紙様式2-2（４・５月分）'!O308="","",'別紙様式2-2（４・５月分）'!O308)</f>
        <v/>
      </c>
      <c r="AX406" s="1507" t="str">
        <f>IF(SUM('別紙様式2-2（４・５月分）'!P308:P310)=0,"",SUM('別紙様式2-2（４・５月分）'!P308:P310))</f>
        <v/>
      </c>
      <c r="AY406" s="1590" t="str">
        <f>IFERROR(VLOOKUP(K406,【参考】数式用!$AJ$2:$AK$24,2,FALSE),"")</f>
        <v/>
      </c>
      <c r="AZ406" s="584"/>
      <c r="BE406" s="428"/>
      <c r="BF406" s="1493" t="str">
        <f>G406</f>
        <v/>
      </c>
      <c r="BG406" s="1493"/>
      <c r="BH406" s="1493"/>
    </row>
    <row r="407" spans="1:60" ht="15" customHeight="1">
      <c r="A407" s="1226"/>
      <c r="B407" s="1272"/>
      <c r="C407" s="1261"/>
      <c r="D407" s="1261"/>
      <c r="E407" s="1261"/>
      <c r="F407" s="1262"/>
      <c r="G407" s="1266"/>
      <c r="H407" s="1266"/>
      <c r="I407" s="1266"/>
      <c r="J407" s="1372"/>
      <c r="K407" s="1266"/>
      <c r="L407" s="1451"/>
      <c r="M407" s="1453"/>
      <c r="N407" s="1370" t="str">
        <f>IF('別紙様式2-2（４・５月分）'!Q309="","",'別紙様式2-2（４・５月分）'!Q309)</f>
        <v/>
      </c>
      <c r="O407" s="1367"/>
      <c r="P407" s="1383"/>
      <c r="Q407" s="1384"/>
      <c r="R407" s="1385"/>
      <c r="S407" s="1393"/>
      <c r="T407" s="1414"/>
      <c r="U407" s="1563"/>
      <c r="V407" s="1458"/>
      <c r="W407" s="1351"/>
      <c r="X407" s="1535"/>
      <c r="Y407" s="1355"/>
      <c r="Z407" s="1535"/>
      <c r="AA407" s="1355"/>
      <c r="AB407" s="1535"/>
      <c r="AC407" s="1355"/>
      <c r="AD407" s="1535"/>
      <c r="AE407" s="1355"/>
      <c r="AF407" s="1355"/>
      <c r="AG407" s="1355"/>
      <c r="AH407" s="1361"/>
      <c r="AI407" s="1482"/>
      <c r="AJ407" s="1543"/>
      <c r="AK407" s="1539"/>
      <c r="AL407" s="1541"/>
      <c r="AM407" s="1572"/>
      <c r="AN407" s="1574"/>
      <c r="AO407" s="1404"/>
      <c r="AP407" s="1533"/>
      <c r="AQ407" s="1404"/>
      <c r="AR407" s="1584"/>
      <c r="AS407" s="1537"/>
      <c r="AT407" s="1532" t="str">
        <f t="shared" ref="AT407" si="483">IF(AV408="","",IF(OR(AB408="",AB408&lt;&gt;7,AD408="",AD408&lt;&gt;3),"！算定期間の終わりが令和７年３月になっていません。年度内の廃止予定等がなければ、算定対象月を令和７年３月にしてください。",""))</f>
        <v/>
      </c>
      <c r="AU407" s="674"/>
      <c r="AV407" s="1493"/>
      <c r="AW407" s="1518" t="str">
        <f>IF('別紙様式2-2（４・５月分）'!O309="","",'別紙様式2-2（４・５月分）'!O309)</f>
        <v/>
      </c>
      <c r="AX407" s="1507"/>
      <c r="AY407" s="1589"/>
      <c r="AZ407" s="521"/>
      <c r="BE407" s="428"/>
      <c r="BF407" s="1493" t="str">
        <f>G406</f>
        <v/>
      </c>
      <c r="BG407" s="1493"/>
      <c r="BH407" s="1493"/>
    </row>
    <row r="408" spans="1:60" ht="15" customHeight="1">
      <c r="A408" s="1240"/>
      <c r="B408" s="1272"/>
      <c r="C408" s="1261"/>
      <c r="D408" s="1261"/>
      <c r="E408" s="1261"/>
      <c r="F408" s="1262"/>
      <c r="G408" s="1266"/>
      <c r="H408" s="1266"/>
      <c r="I408" s="1266"/>
      <c r="J408" s="1372"/>
      <c r="K408" s="1266"/>
      <c r="L408" s="1451"/>
      <c r="M408" s="1453"/>
      <c r="N408" s="1371"/>
      <c r="O408" s="1368"/>
      <c r="P408" s="1390" t="s">
        <v>2179</v>
      </c>
      <c r="Q408" s="1504" t="str">
        <f>IFERROR(VLOOKUP('別紙様式2-2（４・５月分）'!AR308,【参考】数式用!$AT$5:$AV$22,3,FALSE),"")</f>
        <v/>
      </c>
      <c r="R408" s="1388" t="s">
        <v>2190</v>
      </c>
      <c r="S408" s="1394" t="str">
        <f>IFERROR(VLOOKUP(K406,【参考】数式用!$A$5:$AB$27,MATCH(Q408,【参考】数式用!$B$4:$AB$4,0)+1,0),"")</f>
        <v/>
      </c>
      <c r="T408" s="1459" t="s">
        <v>2267</v>
      </c>
      <c r="U408" s="1569"/>
      <c r="V408" s="1463" t="str">
        <f>IFERROR(VLOOKUP(K406,【参考】数式用!$A$5:$AB$27,MATCH(U408,【参考】数式用!$B$4:$AB$4,0)+1,0),"")</f>
        <v/>
      </c>
      <c r="W408" s="1465" t="s">
        <v>19</v>
      </c>
      <c r="X408" s="1564"/>
      <c r="Y408" s="1407" t="s">
        <v>10</v>
      </c>
      <c r="Z408" s="1564"/>
      <c r="AA408" s="1407" t="s">
        <v>45</v>
      </c>
      <c r="AB408" s="1564"/>
      <c r="AC408" s="1407" t="s">
        <v>10</v>
      </c>
      <c r="AD408" s="1564"/>
      <c r="AE408" s="1407" t="s">
        <v>2172</v>
      </c>
      <c r="AF408" s="1407" t="s">
        <v>24</v>
      </c>
      <c r="AG408" s="1407" t="str">
        <f>IF(X408&gt;=1,(AB408*12+AD408)-(X408*12+Z408)+1,"")</f>
        <v/>
      </c>
      <c r="AH408" s="1409" t="s">
        <v>38</v>
      </c>
      <c r="AI408" s="1411" t="str">
        <f t="shared" ref="AI408" si="484">IFERROR(ROUNDDOWN(ROUND(L406*V408,0)*M406,0)*AG408,"")</f>
        <v/>
      </c>
      <c r="AJ408" s="1577" t="str">
        <f>IFERROR(ROUNDDOWN(ROUND((L406*(V408-AX406)),0)*M406,0)*AG408,"")</f>
        <v/>
      </c>
      <c r="AK408" s="1494" t="str">
        <f>IFERROR(ROUNDDOWN(ROUNDDOWN(ROUND(L406*VLOOKUP(K406,【参考】数式用!$A$5:$AB$27,MATCH("新加算Ⅳ",【参考】数式用!$B$4:$AB$4,0)+1,0),0)*M406,0)*AG408*0.5,0),"")</f>
        <v/>
      </c>
      <c r="AL408" s="1579"/>
      <c r="AM408" s="1585" t="str">
        <f>IFERROR(IF('別紙様式2-2（４・５月分）'!Q310="ベア加算","", IF(OR(U408="新加算Ⅰ",U408="新加算Ⅱ",U408="新加算Ⅲ",U408="新加算Ⅳ"),ROUNDDOWN(ROUND(L406*VLOOKUP(K406,【参考】数式用!$A$5:$I$27,MATCH("ベア加算",【参考】数式用!$B$4:$I$4,0)+1,0),0)*M406,0)*AG408,"")),"")</f>
        <v/>
      </c>
      <c r="AN408" s="1548"/>
      <c r="AO408" s="1554"/>
      <c r="AP408" s="1552"/>
      <c r="AQ408" s="1554"/>
      <c r="AR408" s="1556"/>
      <c r="AS408" s="1558"/>
      <c r="AT408" s="1532"/>
      <c r="AU408" s="542"/>
      <c r="AV408" s="1493" t="str">
        <f t="shared" ref="AV408" si="485">IF(OR(AB406&lt;&gt;7,AD406&lt;&gt;3),"V列に色付け","")</f>
        <v/>
      </c>
      <c r="AW408" s="1518"/>
      <c r="AX408" s="1507"/>
      <c r="AY408" s="671"/>
      <c r="AZ408" s="1321" t="str">
        <f>IF(AM408&lt;&gt;"",IF(AN408="○","入力済","未入力"),"")</f>
        <v/>
      </c>
      <c r="BA408" s="1321"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321" t="str">
        <f>IF(OR(U408="新加算Ⅴ（７）",U408="新加算Ⅴ（９）",U408="新加算Ⅴ（10）",U408="新加算Ⅴ（12）",U408="新加算Ⅴ（13）",U408="新加算Ⅴ（14）"),IF(OR(AP408="○",AP408="令和６年度中に満たす"),"入力済","未入力"),"")</f>
        <v/>
      </c>
      <c r="BC408" s="1321" t="str">
        <f>IF(OR(U408="新加算Ⅰ",U408="新加算Ⅱ",U408="新加算Ⅲ",U408="新加算Ⅴ（１）",U408="新加算Ⅴ（３）",U408="新加算Ⅴ（８）"),IF(OR(AQ408="○",AQ408="令和６年度中に満たす"),"入力済","未入力"),"")</f>
        <v/>
      </c>
      <c r="BD408" s="1588"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493" t="str">
        <f>IF(OR(U408="新加算Ⅰ",U408="新加算Ⅴ（１）",U408="新加算Ⅴ（２）",U408="新加算Ⅴ（５）",U408="新加算Ⅴ（７）",U408="新加算Ⅴ（10）"),IF(AS408="","未入力","入力済"),"")</f>
        <v/>
      </c>
      <c r="BF408" s="1493" t="str">
        <f>G406</f>
        <v/>
      </c>
      <c r="BG408" s="1493"/>
      <c r="BH408" s="1493"/>
    </row>
    <row r="409" spans="1:60" ht="30" customHeight="1" thickBot="1">
      <c r="A409" s="1227"/>
      <c r="B409" s="1376"/>
      <c r="C409" s="1377"/>
      <c r="D409" s="1377"/>
      <c r="E409" s="1377"/>
      <c r="F409" s="1378"/>
      <c r="G409" s="1267"/>
      <c r="H409" s="1267"/>
      <c r="I409" s="1267"/>
      <c r="J409" s="1373"/>
      <c r="K409" s="1267"/>
      <c r="L409" s="1452"/>
      <c r="M409" s="1454"/>
      <c r="N409" s="650" t="str">
        <f>IF('別紙様式2-2（４・５月分）'!Q310="","",'別紙様式2-2（４・５月分）'!Q310)</f>
        <v/>
      </c>
      <c r="O409" s="1369"/>
      <c r="P409" s="1391"/>
      <c r="Q409" s="1505"/>
      <c r="R409" s="1389"/>
      <c r="S409" s="1395"/>
      <c r="T409" s="1460"/>
      <c r="U409" s="1570"/>
      <c r="V409" s="1464"/>
      <c r="W409" s="1466"/>
      <c r="X409" s="1565"/>
      <c r="Y409" s="1408"/>
      <c r="Z409" s="1565"/>
      <c r="AA409" s="1408"/>
      <c r="AB409" s="1565"/>
      <c r="AC409" s="1408"/>
      <c r="AD409" s="1565"/>
      <c r="AE409" s="1408"/>
      <c r="AF409" s="1408"/>
      <c r="AG409" s="1408"/>
      <c r="AH409" s="1410"/>
      <c r="AI409" s="1412"/>
      <c r="AJ409" s="1578"/>
      <c r="AK409" s="1495"/>
      <c r="AL409" s="1580"/>
      <c r="AM409" s="1586"/>
      <c r="AN409" s="1549"/>
      <c r="AO409" s="1555"/>
      <c r="AP409" s="1553"/>
      <c r="AQ409" s="1555"/>
      <c r="AR409" s="1557"/>
      <c r="AS409" s="1559"/>
      <c r="AT409" s="672" t="str">
        <f t="shared" ref="AT409" si="486">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42"/>
      <c r="AV409" s="1493"/>
      <c r="AW409" s="652" t="str">
        <f>IF('別紙様式2-2（４・５月分）'!O310="","",'別紙様式2-2（４・５月分）'!O310)</f>
        <v/>
      </c>
      <c r="AX409" s="1507"/>
      <c r="AY409" s="673"/>
      <c r="AZ409" s="1321" t="str">
        <f>IF(OR(U409="新加算Ⅰ",U409="新加算Ⅱ",U409="新加算Ⅲ",U409="新加算Ⅳ",U409="新加算Ⅴ（１）",U409="新加算Ⅴ（２）",U409="新加算Ⅴ（３）",U409="新加算ⅠⅤ（４）",U409="新加算Ⅴ（５）",U409="新加算Ⅴ（６）",U409="新加算Ⅴ（８）",U409="新加算Ⅴ（11）"),IF(AJ409="○","","未入力"),"")</f>
        <v/>
      </c>
      <c r="BA409" s="1321" t="str">
        <f>IF(OR(V409="新加算Ⅰ",V409="新加算Ⅱ",V409="新加算Ⅲ",V409="新加算Ⅳ",V409="新加算Ⅴ（１）",V409="新加算Ⅴ（２）",V409="新加算Ⅴ（３）",V409="新加算ⅠⅤ（４）",V409="新加算Ⅴ（５）",V409="新加算Ⅴ（６）",V409="新加算Ⅴ（８）",V409="新加算Ⅴ（11）"),IF(AK409="○","","未入力"),"")</f>
        <v/>
      </c>
      <c r="BB409" s="1321" t="str">
        <f>IF(OR(V409="新加算Ⅴ（７）",V409="新加算Ⅴ（９）",V409="新加算Ⅴ（10）",V409="新加算Ⅴ（12）",V409="新加算Ⅴ（13）",V409="新加算Ⅴ（14）"),IF(AL409="○","","未入力"),"")</f>
        <v/>
      </c>
      <c r="BC409" s="1321" t="str">
        <f>IF(OR(V409="新加算Ⅰ",V409="新加算Ⅱ",V409="新加算Ⅲ",V409="新加算Ⅴ（１）",V409="新加算Ⅴ（３）",V409="新加算Ⅴ（８）"),IF(AM409="○","","未入力"),"")</f>
        <v/>
      </c>
      <c r="BD409" s="1588"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493" t="str">
        <f>IF(AND(U409&lt;&gt;"（参考）令和７年度の移行予定",OR(V409="新加算Ⅰ",V409="新加算Ⅴ（１）",V409="新加算Ⅴ（２）",V409="新加算Ⅴ（５）",V409="新加算Ⅴ（７）",V409="新加算Ⅴ（10）")),IF(AO409="","未入力",IF(AO409="いずれも取得していない","要件を満たさない","")),"")</f>
        <v/>
      </c>
      <c r="BF409" s="1493" t="str">
        <f>G406</f>
        <v/>
      </c>
      <c r="BG409" s="1493"/>
      <c r="BH409" s="1493"/>
    </row>
    <row r="410" spans="1:60" ht="30" customHeight="1">
      <c r="A410" s="1241">
        <v>100</v>
      </c>
      <c r="B410" s="1271" t="str">
        <f>IF(基本情報入力シート!C153="","",基本情報入力シート!C153)</f>
        <v/>
      </c>
      <c r="C410" s="1259"/>
      <c r="D410" s="1259"/>
      <c r="E410" s="1259"/>
      <c r="F410" s="1260"/>
      <c r="G410" s="1265" t="str">
        <f>IF(基本情報入力シート!M153="","",基本情報入力シート!M153)</f>
        <v/>
      </c>
      <c r="H410" s="1265" t="str">
        <f>IF(基本情報入力シート!R153="","",基本情報入力シート!R153)</f>
        <v/>
      </c>
      <c r="I410" s="1265" t="str">
        <f>IF(基本情報入力シート!W153="","",基本情報入力シート!W153)</f>
        <v/>
      </c>
      <c r="J410" s="1379" t="str">
        <f>IF(基本情報入力シート!X153="","",基本情報入力シート!X153)</f>
        <v/>
      </c>
      <c r="K410" s="1265" t="str">
        <f>IF(基本情報入力シート!Y153="","",基本情報入力シート!Y153)</f>
        <v/>
      </c>
      <c r="L410" s="1450" t="str">
        <f>IF(基本情報入力シート!AB153="","",基本情報入力シート!AB153)</f>
        <v/>
      </c>
      <c r="M410" s="1447" t="str">
        <f>IF(基本情報入力シート!AC153="","",基本情報入力シート!AC153)</f>
        <v/>
      </c>
      <c r="N410" s="647" t="str">
        <f>IF('別紙様式2-2（４・５月分）'!Q311="","",'別紙様式2-2（４・５月分）'!Q311)</f>
        <v/>
      </c>
      <c r="O410" s="1366" t="str">
        <f>IF(SUM('別紙様式2-2（４・５月分）'!R311:R313)=0,"",SUM('別紙様式2-2（４・５月分）'!R311:R313))</f>
        <v/>
      </c>
      <c r="P410" s="1380" t="str">
        <f>IFERROR(VLOOKUP('別紙様式2-2（４・５月分）'!AR311,【参考】数式用!$AT$5:$AU$22,2,FALSE),"")</f>
        <v/>
      </c>
      <c r="Q410" s="1381"/>
      <c r="R410" s="1382"/>
      <c r="S410" s="1392" t="str">
        <f>IFERROR(VLOOKUP(K410,【参考】数式用!$A$5:$AB$27,MATCH(P410,【参考】数式用!$B$4:$AB$4,0)+1,0),"")</f>
        <v/>
      </c>
      <c r="T410" s="1413" t="s">
        <v>2258</v>
      </c>
      <c r="U410" s="1562" t="str">
        <f>IF('別紙様式2-3（６月以降分）'!U410="","",'別紙様式2-3（６月以降分）'!U410)</f>
        <v/>
      </c>
      <c r="V410" s="1457" t="str">
        <f>IFERROR(VLOOKUP(K410,【参考】数式用!$A$5:$AB$27,MATCH(U410,【参考】数式用!$B$4:$AB$4,0)+1,0),"")</f>
        <v/>
      </c>
      <c r="W410" s="1350" t="s">
        <v>19</v>
      </c>
      <c r="X410" s="1534">
        <f>'別紙様式2-3（６月以降分）'!X410</f>
        <v>6</v>
      </c>
      <c r="Y410" s="1354" t="s">
        <v>10</v>
      </c>
      <c r="Z410" s="1534">
        <f>'別紙様式2-3（６月以降分）'!Z410</f>
        <v>6</v>
      </c>
      <c r="AA410" s="1354" t="s">
        <v>45</v>
      </c>
      <c r="AB410" s="1534">
        <f>'別紙様式2-3（６月以降分）'!AB410</f>
        <v>7</v>
      </c>
      <c r="AC410" s="1354" t="s">
        <v>10</v>
      </c>
      <c r="AD410" s="1534">
        <f>'別紙様式2-3（６月以降分）'!AD410</f>
        <v>3</v>
      </c>
      <c r="AE410" s="1354" t="s">
        <v>2172</v>
      </c>
      <c r="AF410" s="1354" t="s">
        <v>24</v>
      </c>
      <c r="AG410" s="1354">
        <f>IF(X410&gt;=1,(AB410*12+AD410)-(X410*12+Z410)+1,"")</f>
        <v>10</v>
      </c>
      <c r="AH410" s="1360" t="s">
        <v>38</v>
      </c>
      <c r="AI410" s="1481" t="str">
        <f>'別紙様式2-3（６月以降分）'!AI410</f>
        <v/>
      </c>
      <c r="AJ410" s="1542" t="str">
        <f>'別紙様式2-3（６月以降分）'!AJ410</f>
        <v/>
      </c>
      <c r="AK410" s="1538">
        <f>'別紙様式2-3（６月以降分）'!AK410</f>
        <v>0</v>
      </c>
      <c r="AL410" s="1540" t="str">
        <f>IF('別紙様式2-3（６月以降分）'!AL410="","",'別紙様式2-3（６月以降分）'!AL410)</f>
        <v/>
      </c>
      <c r="AM410" s="1571">
        <f>'別紙様式2-3（６月以降分）'!AM410</f>
        <v>0</v>
      </c>
      <c r="AN410" s="1573" t="str">
        <f>IF('別紙様式2-3（６月以降分）'!AN410="","",'別紙様式2-3（６月以降分）'!AN410)</f>
        <v/>
      </c>
      <c r="AO410" s="1403" t="str">
        <f>IF('別紙様式2-3（６月以降分）'!AO410="","",'別紙様式2-3（６月以降分）'!AO410)</f>
        <v/>
      </c>
      <c r="AP410" s="1502" t="str">
        <f>IF('別紙様式2-3（６月以降分）'!AP410="","",'別紙様式2-3（６月以降分）'!AP410)</f>
        <v/>
      </c>
      <c r="AQ410" s="1403" t="str">
        <f>IF('別紙様式2-3（６月以降分）'!AQ410="","",'別紙様式2-3（６月以降分）'!AQ410)</f>
        <v/>
      </c>
      <c r="AR410" s="1583" t="str">
        <f>IF('別紙様式2-3（６月以降分）'!AR410="","",'別紙様式2-3（６月以降分）'!AR410)</f>
        <v/>
      </c>
      <c r="AS410" s="1536" t="str">
        <f>IF('別紙様式2-3（６月以降分）'!AS410="","",'別紙様式2-3（６月以降分）'!AS410)</f>
        <v/>
      </c>
      <c r="AT410" s="667" t="str">
        <f t="shared" ref="AT410" si="487">IF(AV412="","",IF(V412&lt;V410,"！加算の要件上は問題ありませんが、令和６年度当初の新加算の加算率と比較して、移行後の加算率が下がる計画になっています。",""))</f>
        <v/>
      </c>
      <c r="AU410" s="674"/>
      <c r="AV410" s="1233"/>
      <c r="AW410" s="652" t="str">
        <f>IF('別紙様式2-2（４・５月分）'!O311="","",'別紙様式2-2（４・５月分）'!O311)</f>
        <v/>
      </c>
      <c r="AX410" s="1507" t="str">
        <f>IF(SUM('別紙様式2-2（４・５月分）'!P311:P313)=0,"",SUM('別紙様式2-2（４・５月分）'!P311:P313))</f>
        <v/>
      </c>
      <c r="AY410" s="1589" t="str">
        <f>IFERROR(VLOOKUP(K410,【参考】数式用!$AJ$2:$AK$24,2,FALSE),"")</f>
        <v/>
      </c>
      <c r="AZ410" s="584"/>
      <c r="BE410" s="428"/>
      <c r="BF410" s="1493" t="str">
        <f>G410</f>
        <v/>
      </c>
      <c r="BG410" s="1493"/>
      <c r="BH410" s="1493"/>
    </row>
    <row r="411" spans="1:60" ht="15" customHeight="1">
      <c r="A411" s="1226"/>
      <c r="B411" s="1272"/>
      <c r="C411" s="1261"/>
      <c r="D411" s="1261"/>
      <c r="E411" s="1261"/>
      <c r="F411" s="1262"/>
      <c r="G411" s="1266"/>
      <c r="H411" s="1266"/>
      <c r="I411" s="1266"/>
      <c r="J411" s="1372"/>
      <c r="K411" s="1266"/>
      <c r="L411" s="1451"/>
      <c r="M411" s="1448"/>
      <c r="N411" s="1370" t="str">
        <f>IF('別紙様式2-2（４・５月分）'!Q312="","",'別紙様式2-2（４・５月分）'!Q312)</f>
        <v/>
      </c>
      <c r="O411" s="1367"/>
      <c r="P411" s="1383"/>
      <c r="Q411" s="1384"/>
      <c r="R411" s="1385"/>
      <c r="S411" s="1393"/>
      <c r="T411" s="1414"/>
      <c r="U411" s="1563"/>
      <c r="V411" s="1458"/>
      <c r="W411" s="1351"/>
      <c r="X411" s="1535"/>
      <c r="Y411" s="1355"/>
      <c r="Z411" s="1535"/>
      <c r="AA411" s="1355"/>
      <c r="AB411" s="1535"/>
      <c r="AC411" s="1355"/>
      <c r="AD411" s="1535"/>
      <c r="AE411" s="1355"/>
      <c r="AF411" s="1355"/>
      <c r="AG411" s="1355"/>
      <c r="AH411" s="1361"/>
      <c r="AI411" s="1482"/>
      <c r="AJ411" s="1543"/>
      <c r="AK411" s="1539"/>
      <c r="AL411" s="1541"/>
      <c r="AM411" s="1572"/>
      <c r="AN411" s="1574"/>
      <c r="AO411" s="1404"/>
      <c r="AP411" s="1533"/>
      <c r="AQ411" s="1404"/>
      <c r="AR411" s="1584"/>
      <c r="AS411" s="1537"/>
      <c r="AT411" s="1532" t="str">
        <f t="shared" ref="AT411" si="488">IF(AV412="","",IF(OR(AB412="",AB412&lt;&gt;7,AD412="",AD412&lt;&gt;3),"！算定期間の終わりが令和７年３月になっていません。年度内の廃止予定等がなければ、算定対象月を令和７年３月にしてください。",""))</f>
        <v/>
      </c>
      <c r="AU411" s="674"/>
      <c r="AV411" s="1493"/>
      <c r="AW411" s="1518" t="str">
        <f>IF('別紙様式2-2（４・５月分）'!O312="","",'別紙様式2-2（４・５月分）'!O312)</f>
        <v/>
      </c>
      <c r="AX411" s="1507"/>
      <c r="AY411" s="1589"/>
      <c r="AZ411" s="521"/>
      <c r="BE411" s="428"/>
      <c r="BF411" s="1493" t="str">
        <f>G410</f>
        <v/>
      </c>
      <c r="BG411" s="1493"/>
      <c r="BH411" s="1493"/>
    </row>
    <row r="412" spans="1:60" ht="15" customHeight="1">
      <c r="A412" s="1240"/>
      <c r="B412" s="1272"/>
      <c r="C412" s="1261"/>
      <c r="D412" s="1261"/>
      <c r="E412" s="1261"/>
      <c r="F412" s="1262"/>
      <c r="G412" s="1266"/>
      <c r="H412" s="1266"/>
      <c r="I412" s="1266"/>
      <c r="J412" s="1372"/>
      <c r="K412" s="1266"/>
      <c r="L412" s="1451"/>
      <c r="M412" s="1448"/>
      <c r="N412" s="1371"/>
      <c r="O412" s="1368"/>
      <c r="P412" s="1390" t="s">
        <v>2179</v>
      </c>
      <c r="Q412" s="1504" t="str">
        <f>IFERROR(VLOOKUP('別紙様式2-2（４・５月分）'!AR311,【参考】数式用!$AT$5:$AV$22,3,FALSE),"")</f>
        <v/>
      </c>
      <c r="R412" s="1388" t="s">
        <v>2190</v>
      </c>
      <c r="S412" s="1396" t="str">
        <f>IFERROR(VLOOKUP(K410,【参考】数式用!$A$5:$AB$27,MATCH(Q412,【参考】数式用!$B$4:$AB$4,0)+1,0),"")</f>
        <v/>
      </c>
      <c r="T412" s="1459" t="s">
        <v>2267</v>
      </c>
      <c r="U412" s="1569"/>
      <c r="V412" s="1463" t="str">
        <f>IFERROR(VLOOKUP(K410,【参考】数式用!$A$5:$AB$27,MATCH(U412,【参考】数式用!$B$4:$AB$4,0)+1,0),"")</f>
        <v/>
      </c>
      <c r="W412" s="1465" t="s">
        <v>19</v>
      </c>
      <c r="X412" s="1564"/>
      <c r="Y412" s="1407" t="s">
        <v>10</v>
      </c>
      <c r="Z412" s="1564"/>
      <c r="AA412" s="1407" t="s">
        <v>45</v>
      </c>
      <c r="AB412" s="1564"/>
      <c r="AC412" s="1407" t="s">
        <v>10</v>
      </c>
      <c r="AD412" s="1564"/>
      <c r="AE412" s="1407" t="s">
        <v>2172</v>
      </c>
      <c r="AF412" s="1407" t="s">
        <v>24</v>
      </c>
      <c r="AG412" s="1407" t="str">
        <f>IF(X412&gt;=1,(AB412*12+AD412)-(X412*12+Z412)+1,"")</f>
        <v/>
      </c>
      <c r="AH412" s="1409" t="s">
        <v>38</v>
      </c>
      <c r="AI412" s="1411" t="str">
        <f t="shared" ref="AI412" si="489">IFERROR(ROUNDDOWN(ROUND(L410*V412,0)*M410,0)*AG412,"")</f>
        <v/>
      </c>
      <c r="AJ412" s="1577" t="str">
        <f>IFERROR(ROUNDDOWN(ROUND((L410*(V412-AX410)),0)*M410,0)*AG412,"")</f>
        <v/>
      </c>
      <c r="AK412" s="1494" t="str">
        <f>IFERROR(ROUNDDOWN(ROUNDDOWN(ROUND(L410*VLOOKUP(K410,【参考】数式用!$A$5:$AB$27,MATCH("新加算Ⅳ",【参考】数式用!$B$4:$AB$4,0)+1,0),0)*M410,0)*AG412*0.5,0),"")</f>
        <v/>
      </c>
      <c r="AL412" s="1579"/>
      <c r="AM412" s="1585" t="str">
        <f>IFERROR(IF('別紙様式2-2（４・５月分）'!Q313="ベア加算","", IF(OR(U412="新加算Ⅰ",U412="新加算Ⅱ",U412="新加算Ⅲ",U412="新加算Ⅳ"),ROUNDDOWN(ROUND(L410*VLOOKUP(K410,【参考】数式用!$A$5:$I$27,MATCH("ベア加算",【参考】数式用!$B$4:$I$4,0)+1,0),0)*M410,0)*AG412,"")),"")</f>
        <v/>
      </c>
      <c r="AN412" s="1548"/>
      <c r="AO412" s="1554"/>
      <c r="AP412" s="1552"/>
      <c r="AQ412" s="1554"/>
      <c r="AR412" s="1556"/>
      <c r="AS412" s="1558"/>
      <c r="AT412" s="1532"/>
      <c r="AU412" s="542"/>
      <c r="AV412" s="1493" t="str">
        <f t="shared" ref="AV412" si="490">IF(OR(AB410&lt;&gt;7,AD410&lt;&gt;3),"V列に色付け","")</f>
        <v/>
      </c>
      <c r="AW412" s="1518"/>
      <c r="AX412" s="1507"/>
      <c r="AY412" s="671"/>
      <c r="AZ412" s="1321" t="str">
        <f>IF(AM412&lt;&gt;"",IF(AN412="○","入力済","未入力"),"")</f>
        <v/>
      </c>
      <c r="BA412" s="1321"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321" t="str">
        <f>IF(OR(U412="新加算Ⅴ（７）",U412="新加算Ⅴ（９）",U412="新加算Ⅴ（10）",U412="新加算Ⅴ（12）",U412="新加算Ⅴ（13）",U412="新加算Ⅴ（14）"),IF(OR(AP412="○",AP412="令和６年度中に満たす"),"入力済","未入力"),"")</f>
        <v/>
      </c>
      <c r="BC412" s="1321" t="str">
        <f>IF(OR(U412="新加算Ⅰ",U412="新加算Ⅱ",U412="新加算Ⅲ",U412="新加算Ⅴ（１）",U412="新加算Ⅴ（３）",U412="新加算Ⅴ（８）"),IF(OR(AQ412="○",AQ412="令和６年度中に満たす"),"入力済","未入力"),"")</f>
        <v/>
      </c>
      <c r="BD412" s="1588"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493" t="str">
        <f>IF(OR(U412="新加算Ⅰ",U412="新加算Ⅴ（１）",U412="新加算Ⅴ（２）",U412="新加算Ⅴ（５）",U412="新加算Ⅴ（７）",U412="新加算Ⅴ（10）"),IF(AS412="","未入力","入力済"),"")</f>
        <v/>
      </c>
      <c r="BF412" s="1493" t="str">
        <f>G410</f>
        <v/>
      </c>
      <c r="BG412" s="1493"/>
      <c r="BH412" s="1493"/>
    </row>
    <row r="413" spans="1:60" ht="30" customHeight="1" thickBot="1">
      <c r="A413" s="1227"/>
      <c r="B413" s="1376"/>
      <c r="C413" s="1377"/>
      <c r="D413" s="1377"/>
      <c r="E413" s="1377"/>
      <c r="F413" s="1378"/>
      <c r="G413" s="1267"/>
      <c r="H413" s="1267"/>
      <c r="I413" s="1267"/>
      <c r="J413" s="1373"/>
      <c r="K413" s="1267"/>
      <c r="L413" s="1452"/>
      <c r="M413" s="1449"/>
      <c r="N413" s="650" t="str">
        <f>IF('別紙様式2-2（４・５月分）'!Q313="","",'別紙様式2-2（４・５月分）'!Q313)</f>
        <v/>
      </c>
      <c r="O413" s="1369"/>
      <c r="P413" s="1391"/>
      <c r="Q413" s="1505"/>
      <c r="R413" s="1389"/>
      <c r="S413" s="1395"/>
      <c r="T413" s="1460"/>
      <c r="U413" s="1570"/>
      <c r="V413" s="1464"/>
      <c r="W413" s="1466"/>
      <c r="X413" s="1565"/>
      <c r="Y413" s="1408"/>
      <c r="Z413" s="1565"/>
      <c r="AA413" s="1408"/>
      <c r="AB413" s="1565"/>
      <c r="AC413" s="1408"/>
      <c r="AD413" s="1565"/>
      <c r="AE413" s="1408"/>
      <c r="AF413" s="1408"/>
      <c r="AG413" s="1408"/>
      <c r="AH413" s="1410"/>
      <c r="AI413" s="1412"/>
      <c r="AJ413" s="1578"/>
      <c r="AK413" s="1495"/>
      <c r="AL413" s="1580"/>
      <c r="AM413" s="1586"/>
      <c r="AN413" s="1549"/>
      <c r="AO413" s="1555"/>
      <c r="AP413" s="1553"/>
      <c r="AQ413" s="1555"/>
      <c r="AR413" s="1557"/>
      <c r="AS413" s="1559"/>
      <c r="AT413" s="672" t="str">
        <f t="shared" ref="AT413" si="491">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42"/>
      <c r="AV413" s="1493"/>
      <c r="AW413" s="652" t="str">
        <f>IF('別紙様式2-2（４・５月分）'!O313="","",'別紙様式2-2（４・５月分）'!O313)</f>
        <v/>
      </c>
      <c r="AX413" s="1507"/>
      <c r="AY413" s="673"/>
      <c r="AZ413" s="1321" t="str">
        <f>IF(OR(U413="新加算Ⅰ",U413="新加算Ⅱ",U413="新加算Ⅲ",U413="新加算Ⅳ",U413="新加算Ⅴ（１）",U413="新加算Ⅴ（２）",U413="新加算Ⅴ（３）",U413="新加算ⅠⅤ（４）",U413="新加算Ⅴ（５）",U413="新加算Ⅴ（６）",U413="新加算Ⅴ（８）",U413="新加算Ⅴ（11）"),IF(AJ413="○","","未入力"),"")</f>
        <v/>
      </c>
      <c r="BA413" s="1321" t="str">
        <f>IF(OR(V413="新加算Ⅰ",V413="新加算Ⅱ",V413="新加算Ⅲ",V413="新加算Ⅳ",V413="新加算Ⅴ（１）",V413="新加算Ⅴ（２）",V413="新加算Ⅴ（３）",V413="新加算ⅠⅤ（４）",V413="新加算Ⅴ（５）",V413="新加算Ⅴ（６）",V413="新加算Ⅴ（８）",V413="新加算Ⅴ（11）"),IF(AK413="○","","未入力"),"")</f>
        <v/>
      </c>
      <c r="BB413" s="1321" t="str">
        <f>IF(OR(V413="新加算Ⅴ（７）",V413="新加算Ⅴ（９）",V413="新加算Ⅴ（10）",V413="新加算Ⅴ（12）",V413="新加算Ⅴ（13）",V413="新加算Ⅴ（14）"),IF(AL413="○","","未入力"),"")</f>
        <v/>
      </c>
      <c r="BC413" s="1321" t="str">
        <f>IF(OR(V413="新加算Ⅰ",V413="新加算Ⅱ",V413="新加算Ⅲ",V413="新加算Ⅴ（１）",V413="新加算Ⅴ（３）",V413="新加算Ⅴ（８）"),IF(AM413="○","","未入力"),"")</f>
        <v/>
      </c>
      <c r="BD413" s="1588"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493" t="str">
        <f>IF(AND(U413&lt;&gt;"（参考）令和７年度の移行予定",OR(V413="新加算Ⅰ",V413="新加算Ⅴ（１）",V413="新加算Ⅴ（２）",V413="新加算Ⅴ（５）",V413="新加算Ⅴ（７）",V413="新加算Ⅴ（10）")),IF(AO413="","未入力",IF(AO413="いずれも取得していない","要件を満たさない","")),"")</f>
        <v/>
      </c>
      <c r="BF413" s="1493" t="str">
        <f>G410</f>
        <v/>
      </c>
      <c r="BG413" s="1493"/>
      <c r="BH413" s="1493"/>
    </row>
    <row r="414" spans="1:60">
      <c r="BD414" s="163"/>
      <c r="BE414" s="163"/>
      <c r="BF414" s="163"/>
      <c r="BG414" s="163"/>
      <c r="BH414" s="163"/>
    </row>
  </sheetData>
  <sheetProtection algorithmName="SHA-512" hashValue="tTso8KMVXonIpE8dLGKT4gJsi6YmnihgO1MD+SMvWAlRId+Ps6X9o5/zlQ9h7WzUfhw0LbyaaEgIz5pdMAbUzw==" saltValue="qokY5ZyfRspnAwI7o/ogpg==" spinCount="100000" sheet="1" formatCells="0" formatColumns="0" formatRows="0" sort="0" autoFilter="0"/>
  <autoFilter ref="A13:BH414" xr:uid="{42170303-3B42-4951-94A3-1C04BB55D1D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AB46:AB47"/>
    <mergeCell ref="AC46:AC47"/>
    <mergeCell ref="AD46:AD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AJ44:AJ45"/>
    <mergeCell ref="AK44:AK45"/>
    <mergeCell ref="AO42:AO43"/>
    <mergeCell ref="AI42:AI43"/>
    <mergeCell ref="AJ42:AJ43"/>
    <mergeCell ref="AK42:AK43"/>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A42:A45"/>
    <mergeCell ref="B42:F45"/>
    <mergeCell ref="G42:G45"/>
    <mergeCell ref="H42:H45"/>
    <mergeCell ref="I42:I45"/>
    <mergeCell ref="J42:J45"/>
    <mergeCell ref="K42:K45"/>
    <mergeCell ref="L42:L45"/>
    <mergeCell ref="M42:M45"/>
    <mergeCell ref="AN40:AN41"/>
    <mergeCell ref="V40:V41"/>
    <mergeCell ref="W40:W41"/>
    <mergeCell ref="X40:X41"/>
    <mergeCell ref="N43:N44"/>
    <mergeCell ref="P44:P45"/>
    <mergeCell ref="T44:T45"/>
    <mergeCell ref="U44:U45"/>
    <mergeCell ref="V44:V45"/>
    <mergeCell ref="W44:W45"/>
    <mergeCell ref="AM44:AM45"/>
    <mergeCell ref="O42:O45"/>
    <mergeCell ref="P42:R43"/>
    <mergeCell ref="S42:S43"/>
    <mergeCell ref="T42:T43"/>
    <mergeCell ref="L38:L41"/>
    <mergeCell ref="M38:M41"/>
    <mergeCell ref="AL38:AL39"/>
    <mergeCell ref="AP44:AP45"/>
    <mergeCell ref="AQ44:AQ45"/>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R38:AR39"/>
    <mergeCell ref="AG38:AG39"/>
    <mergeCell ref="AH38:AH39"/>
    <mergeCell ref="AI38:AI39"/>
    <mergeCell ref="AJ38:AJ39"/>
    <mergeCell ref="AK38:AK39"/>
    <mergeCell ref="U42:U43"/>
    <mergeCell ref="V42:V43"/>
    <mergeCell ref="Q44:Q45"/>
    <mergeCell ref="R44:R45"/>
    <mergeCell ref="S44:S45"/>
    <mergeCell ref="Y36:Y37"/>
    <mergeCell ref="J34:J37"/>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Z40:Z41"/>
    <mergeCell ref="AA40:AA41"/>
    <mergeCell ref="Y34:Y35"/>
    <mergeCell ref="Z34:Z35"/>
    <mergeCell ref="AA34:AA35"/>
    <mergeCell ref="AB34:AB35"/>
    <mergeCell ref="AC34:AC35"/>
    <mergeCell ref="AF34:AF35"/>
    <mergeCell ref="T34:T35"/>
    <mergeCell ref="A38:A41"/>
    <mergeCell ref="B38:F41"/>
    <mergeCell ref="G38:G41"/>
    <mergeCell ref="H38:H41"/>
    <mergeCell ref="I38:I41"/>
    <mergeCell ref="J38:J41"/>
    <mergeCell ref="K38:K41"/>
    <mergeCell ref="AL36:AL37"/>
    <mergeCell ref="AM36:AM37"/>
    <mergeCell ref="AN36:AN37"/>
    <mergeCell ref="AO36:AO37"/>
    <mergeCell ref="AP36:AP37"/>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T36:T37"/>
    <mergeCell ref="U36:U37"/>
    <mergeCell ref="V36:V37"/>
    <mergeCell ref="W36:W37"/>
    <mergeCell ref="X36:X37"/>
    <mergeCell ref="AR30:AR31"/>
    <mergeCell ref="AS30:AS31"/>
    <mergeCell ref="AL30:AL31"/>
    <mergeCell ref="AM30:AM31"/>
    <mergeCell ref="AN30:AN31"/>
    <mergeCell ref="AC30:AC31"/>
    <mergeCell ref="AD30:AD31"/>
    <mergeCell ref="AE30:AE31"/>
    <mergeCell ref="AF30:AF31"/>
    <mergeCell ref="AG30:AG31"/>
    <mergeCell ref="AH30:AH31"/>
    <mergeCell ref="K34:K37"/>
    <mergeCell ref="L34:L37"/>
    <mergeCell ref="M34:M37"/>
    <mergeCell ref="AQ34:AQ35"/>
    <mergeCell ref="A34:A37"/>
    <mergeCell ref="B34:F37"/>
    <mergeCell ref="G34:G37"/>
    <mergeCell ref="H34:H37"/>
    <mergeCell ref="I34:I37"/>
    <mergeCell ref="N35:N36"/>
    <mergeCell ref="P36:P37"/>
    <mergeCell ref="Q36:Q37"/>
    <mergeCell ref="R36:R37"/>
    <mergeCell ref="S36:S37"/>
    <mergeCell ref="AK34:AK35"/>
    <mergeCell ref="AL34:AL35"/>
    <mergeCell ref="AM34:AM35"/>
    <mergeCell ref="AN34:AN35"/>
    <mergeCell ref="AO34:AO35"/>
    <mergeCell ref="AP34:AP35"/>
    <mergeCell ref="AE34:AE35"/>
    <mergeCell ref="AA32:AA33"/>
    <mergeCell ref="Y32:Y33"/>
    <mergeCell ref="AR36:AR37"/>
    <mergeCell ref="AS36:AS37"/>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AR34:AR35"/>
    <mergeCell ref="AS34:AS35"/>
    <mergeCell ref="AV34:AV35"/>
    <mergeCell ref="AG34:AG35"/>
    <mergeCell ref="AH34:AH35"/>
    <mergeCell ref="AI34:AI35"/>
    <mergeCell ref="AJ34:AJ35"/>
    <mergeCell ref="AD34:AD35"/>
    <mergeCell ref="AS32:AS33"/>
    <mergeCell ref="AP30:AP31"/>
    <mergeCell ref="AQ30:AQ31"/>
    <mergeCell ref="U30:U31"/>
    <mergeCell ref="V30:V31"/>
    <mergeCell ref="S34:S35"/>
    <mergeCell ref="U34:U35"/>
    <mergeCell ref="V34:V35"/>
    <mergeCell ref="W34:W35"/>
    <mergeCell ref="X34:X35"/>
    <mergeCell ref="U26:U27"/>
    <mergeCell ref="V26:V27"/>
    <mergeCell ref="W26:W27"/>
    <mergeCell ref="X26:X27"/>
    <mergeCell ref="Y26:Y27"/>
    <mergeCell ref="Z26:Z27"/>
    <mergeCell ref="O26:O29"/>
    <mergeCell ref="P26:R27"/>
    <mergeCell ref="S26:S27"/>
    <mergeCell ref="T26:T27"/>
    <mergeCell ref="Z32:Z33"/>
    <mergeCell ref="AP32:AP33"/>
    <mergeCell ref="AQ32:AQ33"/>
    <mergeCell ref="AR32:AR33"/>
    <mergeCell ref="AB32:AB33"/>
    <mergeCell ref="AC32:AC33"/>
    <mergeCell ref="V28:V29"/>
    <mergeCell ref="W28:W29"/>
    <mergeCell ref="X28:X29"/>
    <mergeCell ref="Y28:Y29"/>
    <mergeCell ref="Z28:Z29"/>
    <mergeCell ref="O34:O37"/>
    <mergeCell ref="P34:R35"/>
    <mergeCell ref="X32:X33"/>
    <mergeCell ref="N31:N32"/>
    <mergeCell ref="P32:P33"/>
    <mergeCell ref="Q32:Q33"/>
    <mergeCell ref="R32:R33"/>
    <mergeCell ref="S32:S33"/>
    <mergeCell ref="T32:T33"/>
    <mergeCell ref="U32:U33"/>
    <mergeCell ref="V32:V33"/>
    <mergeCell ref="W32:W33"/>
    <mergeCell ref="W30:W31"/>
    <mergeCell ref="X30:X31"/>
    <mergeCell ref="Y30:Y31"/>
    <mergeCell ref="Z30:Z31"/>
    <mergeCell ref="AA30:AA31"/>
    <mergeCell ref="AB30:AB31"/>
    <mergeCell ref="O30:O33"/>
    <mergeCell ref="P30:R31"/>
    <mergeCell ref="S30:S31"/>
    <mergeCell ref="T30:T31"/>
    <mergeCell ref="J22:J25"/>
    <mergeCell ref="K22:K25"/>
    <mergeCell ref="L22:L25"/>
    <mergeCell ref="M22:M25"/>
    <mergeCell ref="AQ22:AQ23"/>
    <mergeCell ref="A22:A25"/>
    <mergeCell ref="B22:F25"/>
    <mergeCell ref="G22:G25"/>
    <mergeCell ref="H22:H25"/>
    <mergeCell ref="I22:I25"/>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H28:AH29"/>
    <mergeCell ref="AI28:AI29"/>
    <mergeCell ref="AJ28:AJ29"/>
    <mergeCell ref="AK28:AK29"/>
    <mergeCell ref="AL28:AL29"/>
    <mergeCell ref="AM28:AM29"/>
    <mergeCell ref="AB28:AB29"/>
    <mergeCell ref="AC28:AC29"/>
    <mergeCell ref="AD28:AD29"/>
    <mergeCell ref="AS26:AS27"/>
    <mergeCell ref="N27:N28"/>
    <mergeCell ref="P28:P29"/>
    <mergeCell ref="Q28:Q29"/>
    <mergeCell ref="R28:R29"/>
    <mergeCell ref="S28:S29"/>
    <mergeCell ref="T28:T29"/>
    <mergeCell ref="U28:U29"/>
    <mergeCell ref="AM26:AM27"/>
    <mergeCell ref="AJ26:AJ27"/>
    <mergeCell ref="A26:A29"/>
    <mergeCell ref="B26:F29"/>
    <mergeCell ref="G26:G29"/>
    <mergeCell ref="H26:H29"/>
    <mergeCell ref="I26:I29"/>
    <mergeCell ref="J26:J29"/>
    <mergeCell ref="K26:K29"/>
    <mergeCell ref="AR28:AR29"/>
    <mergeCell ref="AS28:AS29"/>
    <mergeCell ref="AE28:AE29"/>
    <mergeCell ref="AF28:AF29"/>
    <mergeCell ref="AG28:AG29"/>
    <mergeCell ref="L26:L29"/>
    <mergeCell ref="M26:M29"/>
    <mergeCell ref="AA28:AA29"/>
    <mergeCell ref="AN26:AN27"/>
    <mergeCell ref="AO26:AO27"/>
    <mergeCell ref="AP26:AP27"/>
    <mergeCell ref="AQ26:AQ27"/>
    <mergeCell ref="N23:N24"/>
    <mergeCell ref="P24:P25"/>
    <mergeCell ref="Q24:Q25"/>
    <mergeCell ref="R24:R25"/>
    <mergeCell ref="S24:S25"/>
    <mergeCell ref="AK22:AK23"/>
    <mergeCell ref="AL22:AL23"/>
    <mergeCell ref="AM22:AM23"/>
    <mergeCell ref="AN22:AN23"/>
    <mergeCell ref="AO22:AO23"/>
    <mergeCell ref="AP22:AP23"/>
    <mergeCell ref="AE22:AE23"/>
    <mergeCell ref="AL24:AL25"/>
    <mergeCell ref="AM24:AM25"/>
    <mergeCell ref="AN24:AN25"/>
    <mergeCell ref="AO24:AO25"/>
    <mergeCell ref="AP24:AP25"/>
    <mergeCell ref="AQ24:AQ25"/>
    <mergeCell ref="AF22:AF23"/>
    <mergeCell ref="AG22:AG23"/>
    <mergeCell ref="AH22:AH23"/>
    <mergeCell ref="AI22:AI23"/>
    <mergeCell ref="AJ22:AJ23"/>
    <mergeCell ref="Y22:Y23"/>
    <mergeCell ref="Z22:Z23"/>
    <mergeCell ref="S22:S23"/>
    <mergeCell ref="T22:T23"/>
    <mergeCell ref="U22:U23"/>
    <mergeCell ref="V22:V23"/>
    <mergeCell ref="W22:W23"/>
    <mergeCell ref="X22:X23"/>
    <mergeCell ref="O22:O25"/>
    <mergeCell ref="P22:R23"/>
    <mergeCell ref="AR24:AR25"/>
    <mergeCell ref="AS24:AS25"/>
    <mergeCell ref="AR22:AR23"/>
    <mergeCell ref="AS22:AS23"/>
    <mergeCell ref="T24:T25"/>
    <mergeCell ref="U24:U25"/>
    <mergeCell ref="V24:V25"/>
    <mergeCell ref="W24:W25"/>
    <mergeCell ref="X24:X25"/>
    <mergeCell ref="Y24:Y25"/>
    <mergeCell ref="AF24:AF25"/>
    <mergeCell ref="AG24:AG25"/>
    <mergeCell ref="AH24:AH25"/>
    <mergeCell ref="AI24:AI25"/>
    <mergeCell ref="AJ24:AJ25"/>
    <mergeCell ref="AK24:AK25"/>
    <mergeCell ref="Z24:Z25"/>
    <mergeCell ref="AA24:AA25"/>
    <mergeCell ref="AB24:AB25"/>
    <mergeCell ref="AC24:AC25"/>
    <mergeCell ref="AD24:AD25"/>
    <mergeCell ref="AE24:AE25"/>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xr:uid="{5D1F4B42-61DC-4506-8454-95C2B7CB074E}">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xr:uid="{40A36D68-982E-46CF-9379-98A17DF06047}">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xr:uid="{557E83DF-CE75-4F2E-A392-2021914E7718}"/>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2F9E724-FE9F-42C5-A4EE-74C976A09107}">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r:uid="{D86AD21E-2EA2-4FF6-B68C-E8CF50356E60}">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r:uid="{0A310044-90D2-4567-8DD6-53E4C59DF7A2}">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V39"/>
  <sheetViews>
    <sheetView zoomScale="96" zoomScaleNormal="96" zoomScaleSheetLayoutView="85" workbookViewId="0"/>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29.5" style="1" bestFit="1" customWidth="1"/>
    <col min="34" max="34" width="50.625" style="1" customWidth="1"/>
    <col min="35" max="35" width="9.125" style="1" customWidth="1"/>
    <col min="36" max="36" width="38.375" style="1" customWidth="1"/>
    <col min="37" max="37" width="36.625" style="1" customWidth="1"/>
    <col min="38" max="38" width="9" style="1"/>
    <col min="39" max="39" width="13.625" style="1" customWidth="1"/>
    <col min="40" max="43" width="9" style="1"/>
    <col min="44" max="44" width="12.125" style="1" customWidth="1"/>
    <col min="45" max="45" width="9" style="1"/>
    <col min="46" max="46" width="30.625" style="1" customWidth="1"/>
    <col min="47" max="47" width="12" style="1" customWidth="1"/>
    <col min="48" max="48" width="11.5" style="114" customWidth="1"/>
    <col min="49" max="49" width="9" style="1" customWidth="1"/>
    <col min="50" max="16384" width="9" style="1"/>
  </cols>
  <sheetData>
    <row r="1" spans="1:48" ht="14.25" thickBot="1">
      <c r="A1" s="2" t="s">
        <v>2109</v>
      </c>
      <c r="B1" s="2"/>
      <c r="C1" s="2"/>
      <c r="D1" s="2"/>
      <c r="E1" s="2"/>
      <c r="AD1" s="27"/>
      <c r="AE1" s="2" t="s">
        <v>2337</v>
      </c>
      <c r="AJ1" s="1" t="s">
        <v>232</v>
      </c>
      <c r="AM1" s="1" t="s">
        <v>233</v>
      </c>
      <c r="AO1" s="2" t="s">
        <v>242</v>
      </c>
      <c r="AQ1" s="67" t="s">
        <v>2359</v>
      </c>
    </row>
    <row r="2" spans="1:48" ht="27" customHeight="1">
      <c r="A2" s="1616" t="s">
        <v>18</v>
      </c>
      <c r="B2" s="1610" t="s">
        <v>43</v>
      </c>
      <c r="C2" s="1611"/>
      <c r="D2" s="1611"/>
      <c r="E2" s="1612"/>
      <c r="F2" s="1623" t="s">
        <v>106</v>
      </c>
      <c r="G2" s="1624"/>
      <c r="H2" s="1625"/>
      <c r="I2" s="1616" t="s">
        <v>191</v>
      </c>
      <c r="J2" s="1626"/>
      <c r="K2" s="1619" t="s">
        <v>192</v>
      </c>
      <c r="L2" s="1603"/>
      <c r="M2" s="1603"/>
      <c r="N2" s="1603"/>
      <c r="O2" s="1603"/>
      <c r="P2" s="1603"/>
      <c r="Q2" s="1603"/>
      <c r="R2" s="1603"/>
      <c r="S2" s="1603"/>
      <c r="T2" s="1603"/>
      <c r="U2" s="1603"/>
      <c r="V2" s="1603"/>
      <c r="W2" s="1603"/>
      <c r="X2" s="1603"/>
      <c r="Y2" s="1603"/>
      <c r="Z2" s="1603"/>
      <c r="AA2" s="1603"/>
      <c r="AB2" s="1607"/>
      <c r="AC2" s="1641" t="s">
        <v>2171</v>
      </c>
      <c r="AD2" s="27"/>
      <c r="AE2" s="1634" t="s">
        <v>18</v>
      </c>
      <c r="AF2" s="1634" t="s">
        <v>2336</v>
      </c>
      <c r="AG2" s="1635"/>
      <c r="AH2" s="1636"/>
      <c r="AJ2" s="49" t="s">
        <v>145</v>
      </c>
      <c r="AK2" s="74" t="s">
        <v>145</v>
      </c>
      <c r="AM2" s="75" t="s">
        <v>173</v>
      </c>
      <c r="AO2" s="107" t="s">
        <v>2098</v>
      </c>
      <c r="AQ2" s="1600" t="s">
        <v>43</v>
      </c>
      <c r="AR2" s="1603" t="s">
        <v>106</v>
      </c>
      <c r="AS2" s="1603" t="s">
        <v>191</v>
      </c>
      <c r="AT2" s="1628" t="s">
        <v>215</v>
      </c>
      <c r="AU2" s="1631" t="s">
        <v>214</v>
      </c>
      <c r="AV2" s="1607" t="s">
        <v>2188</v>
      </c>
    </row>
    <row r="3" spans="1:48" ht="36.75" customHeight="1" thickBot="1">
      <c r="A3" s="1617"/>
      <c r="B3" s="1613" t="s">
        <v>260</v>
      </c>
      <c r="C3" s="1614"/>
      <c r="D3" s="1614"/>
      <c r="E3" s="1615"/>
      <c r="F3" s="1613" t="s">
        <v>42</v>
      </c>
      <c r="G3" s="1614"/>
      <c r="H3" s="1615"/>
      <c r="I3" s="1618"/>
      <c r="J3" s="1627"/>
      <c r="K3" s="1620" t="s">
        <v>193</v>
      </c>
      <c r="L3" s="1621"/>
      <c r="M3" s="1621"/>
      <c r="N3" s="1621"/>
      <c r="O3" s="1621"/>
      <c r="P3" s="1621"/>
      <c r="Q3" s="1621"/>
      <c r="R3" s="1621"/>
      <c r="S3" s="1621"/>
      <c r="T3" s="1621"/>
      <c r="U3" s="1621"/>
      <c r="V3" s="1621"/>
      <c r="W3" s="1621"/>
      <c r="X3" s="1621"/>
      <c r="Y3" s="1621"/>
      <c r="Z3" s="1621"/>
      <c r="AA3" s="1621"/>
      <c r="AB3" s="1622"/>
      <c r="AC3" s="1642"/>
      <c r="AD3" s="27"/>
      <c r="AE3" s="1637"/>
      <c r="AF3" s="1637"/>
      <c r="AG3" s="1638"/>
      <c r="AH3" s="1639"/>
      <c r="AJ3" s="46" t="s">
        <v>218</v>
      </c>
      <c r="AK3" s="72" t="s">
        <v>218</v>
      </c>
      <c r="AM3" s="76"/>
      <c r="AO3" s="86" t="s">
        <v>2099</v>
      </c>
      <c r="AQ3" s="1601"/>
      <c r="AR3" s="1604"/>
      <c r="AS3" s="1604"/>
      <c r="AT3" s="1629"/>
      <c r="AU3" s="1632"/>
      <c r="AV3" s="1608"/>
    </row>
    <row r="4" spans="1:48" ht="23.25" thickBot="1">
      <c r="A4" s="1618"/>
      <c r="B4" s="35" t="s">
        <v>185</v>
      </c>
      <c r="C4" s="36" t="s">
        <v>186</v>
      </c>
      <c r="D4" s="36" t="s">
        <v>187</v>
      </c>
      <c r="E4" s="124" t="s">
        <v>2217</v>
      </c>
      <c r="F4" s="35" t="s">
        <v>20</v>
      </c>
      <c r="G4" s="37" t="s">
        <v>21</v>
      </c>
      <c r="H4" s="52" t="s">
        <v>212</v>
      </c>
      <c r="I4" s="51" t="s">
        <v>184</v>
      </c>
      <c r="J4" s="52" t="s">
        <v>213</v>
      </c>
      <c r="K4" s="58" t="s">
        <v>194</v>
      </c>
      <c r="L4" s="42" t="s">
        <v>195</v>
      </c>
      <c r="M4" s="42" t="s">
        <v>196</v>
      </c>
      <c r="N4" s="42" t="s">
        <v>197</v>
      </c>
      <c r="O4" s="42" t="s">
        <v>198</v>
      </c>
      <c r="P4" s="42" t="s">
        <v>199</v>
      </c>
      <c r="Q4" s="42" t="s">
        <v>200</v>
      </c>
      <c r="R4" s="42" t="s">
        <v>201</v>
      </c>
      <c r="S4" s="42" t="s">
        <v>202</v>
      </c>
      <c r="T4" s="42" t="s">
        <v>203</v>
      </c>
      <c r="U4" s="42" t="s">
        <v>204</v>
      </c>
      <c r="V4" s="42" t="s">
        <v>205</v>
      </c>
      <c r="W4" s="42" t="s">
        <v>206</v>
      </c>
      <c r="X4" s="42" t="s">
        <v>207</v>
      </c>
      <c r="Y4" s="42" t="s">
        <v>208</v>
      </c>
      <c r="Z4" s="42" t="s">
        <v>209</v>
      </c>
      <c r="AA4" s="42" t="s">
        <v>210</v>
      </c>
      <c r="AB4" s="43" t="s">
        <v>211</v>
      </c>
      <c r="AC4" s="1643"/>
      <c r="AD4" s="27"/>
      <c r="AE4" s="1640"/>
      <c r="AF4" s="1637"/>
      <c r="AG4" s="1638"/>
      <c r="AH4" s="1639"/>
      <c r="AJ4" s="46" t="s">
        <v>219</v>
      </c>
      <c r="AK4" s="72" t="s">
        <v>219</v>
      </c>
      <c r="AO4" s="86" t="s">
        <v>2100</v>
      </c>
      <c r="AQ4" s="1602"/>
      <c r="AR4" s="1605"/>
      <c r="AS4" s="1605"/>
      <c r="AT4" s="1630"/>
      <c r="AU4" s="1633"/>
      <c r="AV4" s="1609"/>
    </row>
    <row r="5" spans="1:48">
      <c r="A5" s="47" t="s">
        <v>145</v>
      </c>
      <c r="B5" s="31">
        <v>0.13700000000000001</v>
      </c>
      <c r="C5" s="32">
        <v>0.1</v>
      </c>
      <c r="D5" s="33">
        <v>5.5E-2</v>
      </c>
      <c r="E5" s="53">
        <v>0</v>
      </c>
      <c r="F5" s="31">
        <v>6.3E-2</v>
      </c>
      <c r="G5" s="34">
        <v>4.2000000000000003E-2</v>
      </c>
      <c r="H5" s="53">
        <v>0</v>
      </c>
      <c r="I5" s="38">
        <v>2.4E-2</v>
      </c>
      <c r="J5" s="53">
        <v>0</v>
      </c>
      <c r="K5" s="684">
        <v>0.245</v>
      </c>
      <c r="L5" s="685">
        <v>0.224</v>
      </c>
      <c r="M5" s="685">
        <v>0.182</v>
      </c>
      <c r="N5" s="685">
        <v>0.14499999999999999</v>
      </c>
      <c r="O5" s="685">
        <v>0.221</v>
      </c>
      <c r="P5" s="685">
        <v>0.20799999999999999</v>
      </c>
      <c r="Q5" s="685">
        <v>0.2</v>
      </c>
      <c r="R5" s="685">
        <v>0.187</v>
      </c>
      <c r="S5" s="685">
        <v>0.184</v>
      </c>
      <c r="T5" s="685">
        <v>0.16300000000000001</v>
      </c>
      <c r="U5" s="685">
        <v>0.16299999999999998</v>
      </c>
      <c r="V5" s="685">
        <v>0.158</v>
      </c>
      <c r="W5" s="685">
        <v>0.14199999999999999</v>
      </c>
      <c r="X5" s="685">
        <v>0.13899999999999998</v>
      </c>
      <c r="Y5" s="685">
        <v>0.12100000000000001</v>
      </c>
      <c r="Z5" s="685">
        <v>0.11800000000000001</v>
      </c>
      <c r="AA5" s="685">
        <v>0.1</v>
      </c>
      <c r="AB5" s="686">
        <v>7.5999999999999998E-2</v>
      </c>
      <c r="AC5" s="686">
        <v>2.1000000000000001E-2</v>
      </c>
      <c r="AD5" s="27"/>
      <c r="AE5" s="126" t="s">
        <v>145</v>
      </c>
      <c r="AF5" s="139" t="s">
        <v>2277</v>
      </c>
      <c r="AG5" s="127" t="s">
        <v>2278</v>
      </c>
      <c r="AH5" s="140"/>
      <c r="AJ5" s="46" t="s">
        <v>156</v>
      </c>
      <c r="AK5" s="72" t="s">
        <v>220</v>
      </c>
      <c r="AM5" s="75" t="s">
        <v>173</v>
      </c>
      <c r="AO5" s="86" t="s">
        <v>2101</v>
      </c>
      <c r="AQ5" s="62" t="s">
        <v>185</v>
      </c>
      <c r="AR5" s="63" t="s">
        <v>20</v>
      </c>
      <c r="AS5" s="64" t="s">
        <v>184</v>
      </c>
      <c r="AT5" s="68" t="str">
        <f t="shared" ref="AT5:AT22" si="0">AQ5&amp;AR5&amp;AS5</f>
        <v>処遇加算Ⅰ特定加算Ⅰベア加算</v>
      </c>
      <c r="AU5" s="118" t="s">
        <v>194</v>
      </c>
      <c r="AV5" s="119" t="s">
        <v>2189</v>
      </c>
    </row>
    <row r="6" spans="1:48" ht="14.25" customHeight="1" thickBot="1">
      <c r="A6" s="46" t="s">
        <v>14</v>
      </c>
      <c r="B6" s="9">
        <v>0.13700000000000001</v>
      </c>
      <c r="C6" s="3">
        <v>0.1</v>
      </c>
      <c r="D6" s="7">
        <v>5.5E-2</v>
      </c>
      <c r="E6" s="4">
        <v>0</v>
      </c>
      <c r="F6" s="9">
        <v>6.3E-2</v>
      </c>
      <c r="G6" s="28">
        <v>4.2000000000000003E-2</v>
      </c>
      <c r="H6" s="4">
        <v>0</v>
      </c>
      <c r="I6" s="39">
        <v>2.4E-2</v>
      </c>
      <c r="J6" s="53">
        <v>0</v>
      </c>
      <c r="K6" s="687">
        <v>0.245</v>
      </c>
      <c r="L6" s="688">
        <v>0.224</v>
      </c>
      <c r="M6" s="688">
        <v>0.182</v>
      </c>
      <c r="N6" s="688">
        <v>0.14499999999999999</v>
      </c>
      <c r="O6" s="688">
        <v>0.221</v>
      </c>
      <c r="P6" s="688">
        <v>0.20799999999999999</v>
      </c>
      <c r="Q6" s="688">
        <v>0.2</v>
      </c>
      <c r="R6" s="688">
        <v>0.187</v>
      </c>
      <c r="S6" s="688">
        <v>0.184</v>
      </c>
      <c r="T6" s="688">
        <v>0.16300000000000001</v>
      </c>
      <c r="U6" s="688">
        <v>0.16299999999999998</v>
      </c>
      <c r="V6" s="688">
        <v>0.158</v>
      </c>
      <c r="W6" s="688">
        <v>0.14199999999999999</v>
      </c>
      <c r="X6" s="688">
        <v>0.13899999999999998</v>
      </c>
      <c r="Y6" s="688">
        <v>0.12100000000000001</v>
      </c>
      <c r="Z6" s="688">
        <v>0.11800000000000001</v>
      </c>
      <c r="AA6" s="688">
        <v>0.1</v>
      </c>
      <c r="AB6" s="689">
        <v>7.5999999999999998E-2</v>
      </c>
      <c r="AC6" s="689">
        <v>2.1000000000000001E-2</v>
      </c>
      <c r="AD6" s="27"/>
      <c r="AE6" s="128" t="s">
        <v>218</v>
      </c>
      <c r="AF6" s="141" t="s">
        <v>2280</v>
      </c>
      <c r="AG6" s="129" t="s">
        <v>2282</v>
      </c>
      <c r="AH6" s="142"/>
      <c r="AJ6" s="46" t="s">
        <v>147</v>
      </c>
      <c r="AK6" s="72" t="s">
        <v>147</v>
      </c>
      <c r="AM6" s="117" t="s">
        <v>2180</v>
      </c>
      <c r="AO6" s="105"/>
      <c r="AQ6" s="44" t="s">
        <v>185</v>
      </c>
      <c r="AR6" s="45" t="s">
        <v>21</v>
      </c>
      <c r="AS6" s="65" t="s">
        <v>184</v>
      </c>
      <c r="AT6" s="69" t="str">
        <f t="shared" si="0"/>
        <v>処遇加算Ⅰ特定加算Ⅱベア加算</v>
      </c>
      <c r="AU6" s="115" t="s">
        <v>195</v>
      </c>
      <c r="AV6" s="120" t="s">
        <v>2189</v>
      </c>
    </row>
    <row r="7" spans="1:48" ht="14.25" thickBot="1">
      <c r="A7" s="46" t="s">
        <v>146</v>
      </c>
      <c r="B7" s="9">
        <v>0.13700000000000001</v>
      </c>
      <c r="C7" s="3">
        <v>0.1</v>
      </c>
      <c r="D7" s="7">
        <v>5.5E-2</v>
      </c>
      <c r="E7" s="4">
        <v>0</v>
      </c>
      <c r="F7" s="9">
        <v>6.3E-2</v>
      </c>
      <c r="G7" s="28">
        <v>4.2000000000000003E-2</v>
      </c>
      <c r="H7" s="4">
        <v>0</v>
      </c>
      <c r="I7" s="39">
        <v>2.4E-2</v>
      </c>
      <c r="J7" s="53">
        <v>0</v>
      </c>
      <c r="K7" s="687">
        <v>0.245</v>
      </c>
      <c r="L7" s="688">
        <v>0.224</v>
      </c>
      <c r="M7" s="688">
        <v>0.182</v>
      </c>
      <c r="N7" s="688">
        <v>0.14499999999999999</v>
      </c>
      <c r="O7" s="688">
        <v>0.221</v>
      </c>
      <c r="P7" s="688">
        <v>0.20799999999999999</v>
      </c>
      <c r="Q7" s="688">
        <v>0.2</v>
      </c>
      <c r="R7" s="688">
        <v>0.187</v>
      </c>
      <c r="S7" s="688">
        <v>0.184</v>
      </c>
      <c r="T7" s="688">
        <v>0.16300000000000001</v>
      </c>
      <c r="U7" s="688">
        <v>0.16299999999999998</v>
      </c>
      <c r="V7" s="688">
        <v>0.158</v>
      </c>
      <c r="W7" s="688">
        <v>0.14199999999999999</v>
      </c>
      <c r="X7" s="688">
        <v>0.13899999999999998</v>
      </c>
      <c r="Y7" s="688">
        <v>0.12100000000000001</v>
      </c>
      <c r="Z7" s="688">
        <v>0.11800000000000001</v>
      </c>
      <c r="AA7" s="688">
        <v>0.1</v>
      </c>
      <c r="AB7" s="689">
        <v>7.5999999999999998E-2</v>
      </c>
      <c r="AC7" s="689">
        <v>2.1000000000000001E-2</v>
      </c>
      <c r="AD7" s="27"/>
      <c r="AE7" s="128" t="s">
        <v>219</v>
      </c>
      <c r="AF7" s="141" t="s">
        <v>2280</v>
      </c>
      <c r="AG7" s="129" t="s">
        <v>2282</v>
      </c>
      <c r="AH7" s="142"/>
      <c r="AJ7" s="46" t="s">
        <v>15</v>
      </c>
      <c r="AK7" s="72" t="s">
        <v>15</v>
      </c>
      <c r="AM7" s="76"/>
      <c r="AQ7" s="44" t="s">
        <v>185</v>
      </c>
      <c r="AR7" s="45" t="s">
        <v>212</v>
      </c>
      <c r="AS7" s="65" t="s">
        <v>184</v>
      </c>
      <c r="AT7" s="69" t="str">
        <f t="shared" si="0"/>
        <v>処遇加算Ⅰ特定加算なしベア加算</v>
      </c>
      <c r="AU7" s="115" t="s">
        <v>196</v>
      </c>
      <c r="AV7" s="120" t="s">
        <v>2189</v>
      </c>
    </row>
    <row r="8" spans="1:48">
      <c r="A8" s="46" t="s">
        <v>156</v>
      </c>
      <c r="B8" s="9">
        <v>5.8000000000000003E-2</v>
      </c>
      <c r="C8" s="3">
        <v>4.2000000000000003E-2</v>
      </c>
      <c r="D8" s="7">
        <v>2.3E-2</v>
      </c>
      <c r="E8" s="4">
        <v>0</v>
      </c>
      <c r="F8" s="9">
        <v>2.1000000000000001E-2</v>
      </c>
      <c r="G8" s="28">
        <v>1.4999999999999999E-2</v>
      </c>
      <c r="H8" s="4">
        <v>0</v>
      </c>
      <c r="I8" s="39">
        <v>1.0999999999999999E-2</v>
      </c>
      <c r="J8" s="53">
        <v>0</v>
      </c>
      <c r="K8" s="687">
        <v>9.9999999999999992E-2</v>
      </c>
      <c r="L8" s="688">
        <v>9.4E-2</v>
      </c>
      <c r="M8" s="688">
        <v>7.9000000000000001E-2</v>
      </c>
      <c r="N8" s="688">
        <v>6.3E-2</v>
      </c>
      <c r="O8" s="688">
        <v>8.8999999999999996E-2</v>
      </c>
      <c r="P8" s="688">
        <v>8.3999999999999991E-2</v>
      </c>
      <c r="Q8" s="688">
        <v>8.3000000000000004E-2</v>
      </c>
      <c r="R8" s="688">
        <v>7.8E-2</v>
      </c>
      <c r="S8" s="688">
        <v>7.2999999999999995E-2</v>
      </c>
      <c r="T8" s="688">
        <v>6.7000000000000004E-2</v>
      </c>
      <c r="U8" s="688">
        <v>6.4999999999999988E-2</v>
      </c>
      <c r="V8" s="688">
        <v>6.8000000000000005E-2</v>
      </c>
      <c r="W8" s="688">
        <v>5.9000000000000004E-2</v>
      </c>
      <c r="X8" s="688">
        <v>5.3999999999999999E-2</v>
      </c>
      <c r="Y8" s="688">
        <v>5.2000000000000005E-2</v>
      </c>
      <c r="Z8" s="688">
        <v>4.8000000000000001E-2</v>
      </c>
      <c r="AA8" s="688">
        <v>4.4000000000000004E-2</v>
      </c>
      <c r="AB8" s="689">
        <v>3.3000000000000002E-2</v>
      </c>
      <c r="AC8" s="689">
        <v>0.01</v>
      </c>
      <c r="AD8" s="27"/>
      <c r="AE8" s="128" t="s">
        <v>156</v>
      </c>
      <c r="AF8" s="141" t="s">
        <v>2280</v>
      </c>
      <c r="AG8" s="129" t="s">
        <v>2282</v>
      </c>
      <c r="AH8" s="142"/>
      <c r="AJ8" s="46" t="s">
        <v>148</v>
      </c>
      <c r="AK8" s="72" t="s">
        <v>221</v>
      </c>
      <c r="AQ8" s="44" t="s">
        <v>186</v>
      </c>
      <c r="AR8" s="45" t="s">
        <v>212</v>
      </c>
      <c r="AS8" s="65" t="s">
        <v>184</v>
      </c>
      <c r="AT8" s="69" t="str">
        <f t="shared" si="0"/>
        <v>処遇加算Ⅱ特定加算なしベア加算</v>
      </c>
      <c r="AU8" s="115" t="s">
        <v>197</v>
      </c>
      <c r="AV8" s="120" t="s">
        <v>2189</v>
      </c>
    </row>
    <row r="9" spans="1:48">
      <c r="A9" s="46" t="s">
        <v>147</v>
      </c>
      <c r="B9" s="9">
        <v>5.8999999999999997E-2</v>
      </c>
      <c r="C9" s="3">
        <v>4.2999999999999997E-2</v>
      </c>
      <c r="D9" s="7">
        <v>2.3E-2</v>
      </c>
      <c r="E9" s="4">
        <v>0</v>
      </c>
      <c r="F9" s="9">
        <v>1.2E-2</v>
      </c>
      <c r="G9" s="28">
        <v>0.01</v>
      </c>
      <c r="H9" s="4">
        <v>0</v>
      </c>
      <c r="I9" s="39">
        <v>1.0999999999999999E-2</v>
      </c>
      <c r="J9" s="53">
        <v>0</v>
      </c>
      <c r="K9" s="687">
        <v>9.1999999999999985E-2</v>
      </c>
      <c r="L9" s="688">
        <v>8.9999999999999983E-2</v>
      </c>
      <c r="M9" s="688">
        <v>7.9999999999999988E-2</v>
      </c>
      <c r="N9" s="688">
        <v>6.3999999999999987E-2</v>
      </c>
      <c r="O9" s="688">
        <v>8.0999999999999989E-2</v>
      </c>
      <c r="P9" s="688">
        <v>7.5999999999999984E-2</v>
      </c>
      <c r="Q9" s="688">
        <v>7.8999999999999987E-2</v>
      </c>
      <c r="R9" s="688">
        <v>7.3999999999999996E-2</v>
      </c>
      <c r="S9" s="688">
        <v>6.4999999999999988E-2</v>
      </c>
      <c r="T9" s="688">
        <v>6.3E-2</v>
      </c>
      <c r="U9" s="688">
        <v>5.6000000000000001E-2</v>
      </c>
      <c r="V9" s="688">
        <v>6.8999999999999992E-2</v>
      </c>
      <c r="W9" s="688">
        <v>5.3999999999999999E-2</v>
      </c>
      <c r="X9" s="688">
        <v>4.5000000000000005E-2</v>
      </c>
      <c r="Y9" s="688">
        <v>5.2999999999999999E-2</v>
      </c>
      <c r="Z9" s="688">
        <v>4.3000000000000003E-2</v>
      </c>
      <c r="AA9" s="688">
        <v>4.4000000000000004E-2</v>
      </c>
      <c r="AB9" s="689">
        <v>3.3000000000000002E-2</v>
      </c>
      <c r="AC9" s="689">
        <v>0.01</v>
      </c>
      <c r="AD9" s="27"/>
      <c r="AE9" s="128" t="s">
        <v>147</v>
      </c>
      <c r="AF9" s="141" t="s">
        <v>2280</v>
      </c>
      <c r="AG9" s="129" t="s">
        <v>2282</v>
      </c>
      <c r="AH9" s="142"/>
      <c r="AJ9" s="46" t="s">
        <v>149</v>
      </c>
      <c r="AK9" s="72" t="s">
        <v>222</v>
      </c>
      <c r="AQ9" s="44" t="s">
        <v>185</v>
      </c>
      <c r="AR9" s="45" t="s">
        <v>20</v>
      </c>
      <c r="AS9" s="65" t="s">
        <v>213</v>
      </c>
      <c r="AT9" s="69" t="str">
        <f t="shared" si="0"/>
        <v>処遇加算Ⅰ特定加算Ⅰベア加算なし</v>
      </c>
      <c r="AU9" s="115" t="s">
        <v>198</v>
      </c>
      <c r="AV9" s="120" t="s">
        <v>2189</v>
      </c>
    </row>
    <row r="10" spans="1:48">
      <c r="A10" s="46" t="s">
        <v>15</v>
      </c>
      <c r="B10" s="9">
        <v>5.8999999999999997E-2</v>
      </c>
      <c r="C10" s="3">
        <v>4.2999999999999997E-2</v>
      </c>
      <c r="D10" s="7">
        <v>2.3E-2</v>
      </c>
      <c r="E10" s="4">
        <v>0</v>
      </c>
      <c r="F10" s="9">
        <v>1.2E-2</v>
      </c>
      <c r="G10" s="28">
        <v>0.01</v>
      </c>
      <c r="H10" s="4">
        <v>0</v>
      </c>
      <c r="I10" s="39">
        <v>1.0999999999999999E-2</v>
      </c>
      <c r="J10" s="53">
        <v>0</v>
      </c>
      <c r="K10" s="687">
        <v>9.1999999999999985E-2</v>
      </c>
      <c r="L10" s="688">
        <v>8.9999999999999983E-2</v>
      </c>
      <c r="M10" s="688">
        <v>7.9999999999999988E-2</v>
      </c>
      <c r="N10" s="688">
        <v>6.3999999999999987E-2</v>
      </c>
      <c r="O10" s="688">
        <v>8.0999999999999989E-2</v>
      </c>
      <c r="P10" s="688">
        <v>7.5999999999999984E-2</v>
      </c>
      <c r="Q10" s="688">
        <v>7.8999999999999987E-2</v>
      </c>
      <c r="R10" s="688">
        <v>7.3999999999999996E-2</v>
      </c>
      <c r="S10" s="688">
        <v>6.4999999999999988E-2</v>
      </c>
      <c r="T10" s="688">
        <v>6.3E-2</v>
      </c>
      <c r="U10" s="688">
        <v>5.6000000000000001E-2</v>
      </c>
      <c r="V10" s="688">
        <v>6.8999999999999992E-2</v>
      </c>
      <c r="W10" s="688">
        <v>5.3999999999999999E-2</v>
      </c>
      <c r="X10" s="688">
        <v>4.5000000000000005E-2</v>
      </c>
      <c r="Y10" s="688">
        <v>5.2999999999999999E-2</v>
      </c>
      <c r="Z10" s="688">
        <v>4.3000000000000003E-2</v>
      </c>
      <c r="AA10" s="688">
        <v>4.4000000000000004E-2</v>
      </c>
      <c r="AB10" s="689">
        <v>3.3000000000000002E-2</v>
      </c>
      <c r="AC10" s="689">
        <v>0.01</v>
      </c>
      <c r="AD10" s="27"/>
      <c r="AE10" s="128" t="s">
        <v>15</v>
      </c>
      <c r="AF10" s="141" t="s">
        <v>2280</v>
      </c>
      <c r="AG10" s="129" t="s">
        <v>2282</v>
      </c>
      <c r="AH10" s="143" t="s">
        <v>2283</v>
      </c>
      <c r="AJ10" s="46" t="s">
        <v>16</v>
      </c>
      <c r="AK10" s="72" t="s">
        <v>16</v>
      </c>
      <c r="AQ10" s="44" t="s">
        <v>186</v>
      </c>
      <c r="AR10" s="45" t="s">
        <v>20</v>
      </c>
      <c r="AS10" s="65" t="s">
        <v>184</v>
      </c>
      <c r="AT10" s="69" t="str">
        <f t="shared" si="0"/>
        <v>処遇加算Ⅱ特定加算Ⅰベア加算</v>
      </c>
      <c r="AU10" s="115" t="s">
        <v>194</v>
      </c>
      <c r="AV10" s="120" t="s">
        <v>199</v>
      </c>
    </row>
    <row r="11" spans="1:48">
      <c r="A11" s="46" t="s">
        <v>148</v>
      </c>
      <c r="B11" s="9">
        <v>4.7E-2</v>
      </c>
      <c r="C11" s="3">
        <v>3.4000000000000002E-2</v>
      </c>
      <c r="D11" s="7">
        <v>1.9E-2</v>
      </c>
      <c r="E11" s="4">
        <v>0</v>
      </c>
      <c r="F11" s="9">
        <v>0.02</v>
      </c>
      <c r="G11" s="28">
        <v>1.7000000000000001E-2</v>
      </c>
      <c r="H11" s="4">
        <v>0</v>
      </c>
      <c r="I11" s="39">
        <v>0.01</v>
      </c>
      <c r="J11" s="53">
        <v>0</v>
      </c>
      <c r="K11" s="687">
        <v>8.5999999999999993E-2</v>
      </c>
      <c r="L11" s="688">
        <v>8.299999999999999E-2</v>
      </c>
      <c r="M11" s="688">
        <v>6.6000000000000003E-2</v>
      </c>
      <c r="N11" s="688">
        <v>5.3000000000000005E-2</v>
      </c>
      <c r="O11" s="688">
        <v>7.5999999999999998E-2</v>
      </c>
      <c r="P11" s="688">
        <v>7.2999999999999995E-2</v>
      </c>
      <c r="Q11" s="688">
        <v>7.2999999999999995E-2</v>
      </c>
      <c r="R11" s="688">
        <v>7.0000000000000007E-2</v>
      </c>
      <c r="S11" s="688">
        <v>6.3E-2</v>
      </c>
      <c r="T11" s="688">
        <v>6.0000000000000005E-2</v>
      </c>
      <c r="U11" s="688">
        <v>5.8000000000000003E-2</v>
      </c>
      <c r="V11" s="688">
        <v>5.6000000000000001E-2</v>
      </c>
      <c r="W11" s="688">
        <v>5.5000000000000007E-2</v>
      </c>
      <c r="X11" s="688">
        <v>4.8000000000000001E-2</v>
      </c>
      <c r="Y11" s="688">
        <v>4.3000000000000003E-2</v>
      </c>
      <c r="Z11" s="688">
        <v>4.5000000000000005E-2</v>
      </c>
      <c r="AA11" s="688">
        <v>3.7999999999999999E-2</v>
      </c>
      <c r="AB11" s="689">
        <v>2.7999999999999997E-2</v>
      </c>
      <c r="AC11" s="689">
        <v>8.9999999999999993E-3</v>
      </c>
      <c r="AD11" s="27"/>
      <c r="AE11" s="128" t="s">
        <v>148</v>
      </c>
      <c r="AF11" s="141" t="s">
        <v>2280</v>
      </c>
      <c r="AG11" s="129" t="s">
        <v>2282</v>
      </c>
      <c r="AH11" s="142"/>
      <c r="AJ11" s="46" t="s">
        <v>150</v>
      </c>
      <c r="AK11" s="72" t="s">
        <v>223</v>
      </c>
      <c r="AQ11" s="44" t="s">
        <v>185</v>
      </c>
      <c r="AR11" s="45" t="s">
        <v>21</v>
      </c>
      <c r="AS11" s="65" t="s">
        <v>213</v>
      </c>
      <c r="AT11" s="69" t="str">
        <f t="shared" si="0"/>
        <v>処遇加算Ⅰ特定加算Ⅱベア加算なし</v>
      </c>
      <c r="AU11" s="115" t="s">
        <v>200</v>
      </c>
      <c r="AV11" s="120" t="s">
        <v>2189</v>
      </c>
    </row>
    <row r="12" spans="1:48">
      <c r="A12" s="46" t="s">
        <v>149</v>
      </c>
      <c r="B12" s="9">
        <v>8.2000000000000003E-2</v>
      </c>
      <c r="C12" s="3">
        <v>0.06</v>
      </c>
      <c r="D12" s="7">
        <v>3.3000000000000002E-2</v>
      </c>
      <c r="E12" s="4">
        <v>0</v>
      </c>
      <c r="F12" s="9">
        <v>1.7999999999999999E-2</v>
      </c>
      <c r="G12" s="28">
        <v>1.2E-2</v>
      </c>
      <c r="H12" s="4">
        <v>0</v>
      </c>
      <c r="I12" s="39">
        <v>1.4999999999999999E-2</v>
      </c>
      <c r="J12" s="53">
        <v>0</v>
      </c>
      <c r="K12" s="687">
        <v>0.128</v>
      </c>
      <c r="L12" s="688">
        <v>0.122</v>
      </c>
      <c r="M12" s="688">
        <v>0.11</v>
      </c>
      <c r="N12" s="688">
        <v>8.7999999999999995E-2</v>
      </c>
      <c r="O12" s="688">
        <v>0.113</v>
      </c>
      <c r="P12" s="688">
        <v>0.106</v>
      </c>
      <c r="Q12" s="688">
        <v>0.107</v>
      </c>
      <c r="R12" s="688">
        <v>9.9999999999999992E-2</v>
      </c>
      <c r="S12" s="688">
        <v>9.0999999999999998E-2</v>
      </c>
      <c r="T12" s="688">
        <v>8.4999999999999992E-2</v>
      </c>
      <c r="U12" s="688">
        <v>7.9000000000000001E-2</v>
      </c>
      <c r="V12" s="688">
        <v>9.5000000000000001E-2</v>
      </c>
      <c r="W12" s="688">
        <v>7.2999999999999995E-2</v>
      </c>
      <c r="X12" s="688">
        <v>6.4000000000000001E-2</v>
      </c>
      <c r="Y12" s="688">
        <v>7.2999999999999995E-2</v>
      </c>
      <c r="Z12" s="688">
        <v>5.7999999999999996E-2</v>
      </c>
      <c r="AA12" s="688">
        <v>6.0999999999999999E-2</v>
      </c>
      <c r="AB12" s="689">
        <v>4.5999999999999999E-2</v>
      </c>
      <c r="AC12" s="689">
        <v>1.2999999999999999E-2</v>
      </c>
      <c r="AD12" s="27"/>
      <c r="AE12" s="128" t="s">
        <v>149</v>
      </c>
      <c r="AF12" s="141" t="s">
        <v>2280</v>
      </c>
      <c r="AG12" s="129" t="s">
        <v>2282</v>
      </c>
      <c r="AH12" s="143" t="s">
        <v>2284</v>
      </c>
      <c r="AJ12" s="46" t="s">
        <v>151</v>
      </c>
      <c r="AK12" s="72" t="s">
        <v>224</v>
      </c>
      <c r="AQ12" s="44" t="s">
        <v>186</v>
      </c>
      <c r="AR12" s="45" t="s">
        <v>21</v>
      </c>
      <c r="AS12" s="65" t="s">
        <v>184</v>
      </c>
      <c r="AT12" s="69" t="str">
        <f t="shared" si="0"/>
        <v>処遇加算Ⅱ特定加算Ⅱベア加算</v>
      </c>
      <c r="AU12" s="115" t="s">
        <v>195</v>
      </c>
      <c r="AV12" s="120" t="s">
        <v>201</v>
      </c>
    </row>
    <row r="13" spans="1:48">
      <c r="A13" s="46" t="s">
        <v>16</v>
      </c>
      <c r="B13" s="9">
        <v>8.2000000000000003E-2</v>
      </c>
      <c r="C13" s="3">
        <v>0.06</v>
      </c>
      <c r="D13" s="7">
        <v>3.3000000000000002E-2</v>
      </c>
      <c r="E13" s="4">
        <v>0</v>
      </c>
      <c r="F13" s="9">
        <v>1.7999999999999999E-2</v>
      </c>
      <c r="G13" s="28">
        <v>1.2E-2</v>
      </c>
      <c r="H13" s="4">
        <v>0</v>
      </c>
      <c r="I13" s="39">
        <v>1.4999999999999999E-2</v>
      </c>
      <c r="J13" s="53">
        <v>0</v>
      </c>
      <c r="K13" s="687">
        <v>0.128</v>
      </c>
      <c r="L13" s="688">
        <v>0.122</v>
      </c>
      <c r="M13" s="688">
        <v>0.11</v>
      </c>
      <c r="N13" s="688">
        <v>8.7999999999999995E-2</v>
      </c>
      <c r="O13" s="688">
        <v>0.113</v>
      </c>
      <c r="P13" s="688">
        <v>0.106</v>
      </c>
      <c r="Q13" s="688">
        <v>0.107</v>
      </c>
      <c r="R13" s="688">
        <v>9.9999999999999992E-2</v>
      </c>
      <c r="S13" s="688">
        <v>9.0999999999999998E-2</v>
      </c>
      <c r="T13" s="688">
        <v>8.4999999999999992E-2</v>
      </c>
      <c r="U13" s="688">
        <v>7.9000000000000001E-2</v>
      </c>
      <c r="V13" s="688">
        <v>9.5000000000000001E-2</v>
      </c>
      <c r="W13" s="688">
        <v>7.2999999999999995E-2</v>
      </c>
      <c r="X13" s="688">
        <v>6.4000000000000001E-2</v>
      </c>
      <c r="Y13" s="688">
        <v>7.2999999999999995E-2</v>
      </c>
      <c r="Z13" s="688">
        <v>5.7999999999999996E-2</v>
      </c>
      <c r="AA13" s="688">
        <v>6.0999999999999999E-2</v>
      </c>
      <c r="AB13" s="689">
        <v>4.5999999999999999E-2</v>
      </c>
      <c r="AC13" s="689">
        <v>1.2999999999999999E-2</v>
      </c>
      <c r="AD13" s="27"/>
      <c r="AE13" s="128" t="s">
        <v>16</v>
      </c>
      <c r="AF13" s="141" t="s">
        <v>2280</v>
      </c>
      <c r="AG13" s="129" t="s">
        <v>2282</v>
      </c>
      <c r="AH13" s="143" t="s">
        <v>2284</v>
      </c>
      <c r="AJ13" s="46" t="s">
        <v>157</v>
      </c>
      <c r="AK13" s="72" t="s">
        <v>157</v>
      </c>
      <c r="AQ13" s="44" t="s">
        <v>186</v>
      </c>
      <c r="AR13" s="45" t="s">
        <v>20</v>
      </c>
      <c r="AS13" s="65" t="s">
        <v>213</v>
      </c>
      <c r="AT13" s="69" t="str">
        <f t="shared" si="0"/>
        <v>処遇加算Ⅱ特定加算Ⅰベア加算なし</v>
      </c>
      <c r="AU13" s="115" t="s">
        <v>202</v>
      </c>
      <c r="AV13" s="120" t="s">
        <v>2189</v>
      </c>
    </row>
    <row r="14" spans="1:48">
      <c r="A14" s="46" t="s">
        <v>150</v>
      </c>
      <c r="B14" s="9">
        <v>0.104</v>
      </c>
      <c r="C14" s="3">
        <v>7.5999999999999998E-2</v>
      </c>
      <c r="D14" s="7">
        <v>4.2000000000000003E-2</v>
      </c>
      <c r="E14" s="4">
        <v>0</v>
      </c>
      <c r="F14" s="9">
        <v>3.1E-2</v>
      </c>
      <c r="G14" s="28">
        <v>2.4E-2</v>
      </c>
      <c r="H14" s="4">
        <v>0</v>
      </c>
      <c r="I14" s="39">
        <v>2.3E-2</v>
      </c>
      <c r="J14" s="53">
        <v>0</v>
      </c>
      <c r="K14" s="687">
        <v>0.18099999999999999</v>
      </c>
      <c r="L14" s="688">
        <v>0.17399999999999999</v>
      </c>
      <c r="M14" s="688">
        <v>0.15</v>
      </c>
      <c r="N14" s="688">
        <v>0.122</v>
      </c>
      <c r="O14" s="688">
        <v>0.158</v>
      </c>
      <c r="P14" s="688">
        <v>0.153</v>
      </c>
      <c r="Q14" s="688">
        <v>0.151</v>
      </c>
      <c r="R14" s="688">
        <v>0.14599999999999999</v>
      </c>
      <c r="S14" s="688">
        <v>0.13</v>
      </c>
      <c r="T14" s="688">
        <v>0.123</v>
      </c>
      <c r="U14" s="688">
        <v>0.11899999999999999</v>
      </c>
      <c r="V14" s="688">
        <v>0.127</v>
      </c>
      <c r="W14" s="688">
        <v>0.11199999999999999</v>
      </c>
      <c r="X14" s="688">
        <v>9.6000000000000002E-2</v>
      </c>
      <c r="Y14" s="688">
        <v>9.9000000000000005E-2</v>
      </c>
      <c r="Z14" s="688">
        <v>8.8999999999999996E-2</v>
      </c>
      <c r="AA14" s="688">
        <v>8.7999999999999995E-2</v>
      </c>
      <c r="AB14" s="689">
        <v>6.5000000000000002E-2</v>
      </c>
      <c r="AC14" s="689">
        <v>2.3E-2</v>
      </c>
      <c r="AD14" s="27"/>
      <c r="AE14" s="128" t="s">
        <v>150</v>
      </c>
      <c r="AF14" s="141" t="s">
        <v>2280</v>
      </c>
      <c r="AG14" s="129" t="s">
        <v>2282</v>
      </c>
      <c r="AH14" s="142"/>
      <c r="AJ14" s="46" t="s">
        <v>152</v>
      </c>
      <c r="AK14" s="72" t="s">
        <v>225</v>
      </c>
      <c r="AQ14" s="44" t="s">
        <v>186</v>
      </c>
      <c r="AR14" s="45" t="s">
        <v>21</v>
      </c>
      <c r="AS14" s="65" t="s">
        <v>213</v>
      </c>
      <c r="AT14" s="69" t="str">
        <f t="shared" si="0"/>
        <v>処遇加算Ⅱ特定加算Ⅱベア加算なし</v>
      </c>
      <c r="AU14" s="115" t="s">
        <v>203</v>
      </c>
      <c r="AV14" s="120" t="s">
        <v>2189</v>
      </c>
    </row>
    <row r="15" spans="1:48">
      <c r="A15" s="46" t="s">
        <v>151</v>
      </c>
      <c r="B15" s="9">
        <v>0.10199999999999999</v>
      </c>
      <c r="C15" s="3">
        <v>7.3999999999999996E-2</v>
      </c>
      <c r="D15" s="7">
        <v>4.1000000000000002E-2</v>
      </c>
      <c r="E15" s="4">
        <v>0</v>
      </c>
      <c r="F15" s="9">
        <v>1.4999999999999999E-2</v>
      </c>
      <c r="G15" s="28">
        <v>1.2E-2</v>
      </c>
      <c r="H15" s="4">
        <v>0</v>
      </c>
      <c r="I15" s="39">
        <v>1.7000000000000001E-2</v>
      </c>
      <c r="J15" s="53">
        <v>0</v>
      </c>
      <c r="K15" s="687">
        <v>0.14900000000000002</v>
      </c>
      <c r="L15" s="688">
        <v>0.14600000000000002</v>
      </c>
      <c r="M15" s="688">
        <v>0.13400000000000001</v>
      </c>
      <c r="N15" s="688">
        <v>0.106</v>
      </c>
      <c r="O15" s="688">
        <v>0.13200000000000001</v>
      </c>
      <c r="P15" s="688">
        <v>0.121</v>
      </c>
      <c r="Q15" s="688">
        <v>0.129</v>
      </c>
      <c r="R15" s="688">
        <v>0.11799999999999999</v>
      </c>
      <c r="S15" s="688">
        <v>0.104</v>
      </c>
      <c r="T15" s="688">
        <v>0.10099999999999999</v>
      </c>
      <c r="U15" s="688">
        <v>8.8000000000000009E-2</v>
      </c>
      <c r="V15" s="688">
        <v>0.11699999999999999</v>
      </c>
      <c r="W15" s="688">
        <v>8.5000000000000006E-2</v>
      </c>
      <c r="X15" s="688">
        <v>7.1000000000000008E-2</v>
      </c>
      <c r="Y15" s="688">
        <v>8.8999999999999996E-2</v>
      </c>
      <c r="Z15" s="688">
        <v>6.8000000000000005E-2</v>
      </c>
      <c r="AA15" s="688">
        <v>7.3000000000000009E-2</v>
      </c>
      <c r="AB15" s="689">
        <v>5.6000000000000001E-2</v>
      </c>
      <c r="AC15" s="689">
        <v>1.4999999999999999E-2</v>
      </c>
      <c r="AD15" s="27"/>
      <c r="AE15" s="128" t="s">
        <v>151</v>
      </c>
      <c r="AF15" s="141" t="s">
        <v>2280</v>
      </c>
      <c r="AG15" s="129" t="s">
        <v>2282</v>
      </c>
      <c r="AH15" s="142"/>
      <c r="AJ15" s="46" t="s">
        <v>158</v>
      </c>
      <c r="AK15" s="72" t="s">
        <v>158</v>
      </c>
      <c r="AQ15" s="44" t="s">
        <v>187</v>
      </c>
      <c r="AR15" s="45" t="s">
        <v>20</v>
      </c>
      <c r="AS15" s="65" t="s">
        <v>184</v>
      </c>
      <c r="AT15" s="69" t="str">
        <f t="shared" si="0"/>
        <v>処遇加算Ⅲ特定加算Ⅰベア加算</v>
      </c>
      <c r="AU15" s="115" t="s">
        <v>194</v>
      </c>
      <c r="AV15" s="120" t="s">
        <v>204</v>
      </c>
    </row>
    <row r="16" spans="1:48">
      <c r="A16" s="46" t="s">
        <v>157</v>
      </c>
      <c r="B16" s="9">
        <v>0.10199999999999999</v>
      </c>
      <c r="C16" s="3">
        <v>7.3999999999999996E-2</v>
      </c>
      <c r="D16" s="7">
        <v>4.1000000000000002E-2</v>
      </c>
      <c r="E16" s="4">
        <v>0</v>
      </c>
      <c r="F16" s="9">
        <v>1.4999999999999999E-2</v>
      </c>
      <c r="G16" s="28">
        <v>1.2E-2</v>
      </c>
      <c r="H16" s="4">
        <v>0</v>
      </c>
      <c r="I16" s="39">
        <v>1.7000000000000001E-2</v>
      </c>
      <c r="J16" s="53">
        <v>0</v>
      </c>
      <c r="K16" s="687">
        <v>0.14900000000000002</v>
      </c>
      <c r="L16" s="688">
        <v>0.14600000000000002</v>
      </c>
      <c r="M16" s="688">
        <v>0.13400000000000001</v>
      </c>
      <c r="N16" s="688">
        <v>0.106</v>
      </c>
      <c r="O16" s="688">
        <v>0.13200000000000001</v>
      </c>
      <c r="P16" s="688">
        <v>0.121</v>
      </c>
      <c r="Q16" s="688">
        <v>0.129</v>
      </c>
      <c r="R16" s="688">
        <v>0.11799999999999999</v>
      </c>
      <c r="S16" s="688">
        <v>0.104</v>
      </c>
      <c r="T16" s="688">
        <v>0.10099999999999999</v>
      </c>
      <c r="U16" s="688">
        <v>8.8000000000000009E-2</v>
      </c>
      <c r="V16" s="688">
        <v>0.11699999999999999</v>
      </c>
      <c r="W16" s="688">
        <v>8.5000000000000006E-2</v>
      </c>
      <c r="X16" s="688">
        <v>7.1000000000000008E-2</v>
      </c>
      <c r="Y16" s="688">
        <v>8.8999999999999996E-2</v>
      </c>
      <c r="Z16" s="688">
        <v>6.8000000000000005E-2</v>
      </c>
      <c r="AA16" s="688">
        <v>7.3000000000000009E-2</v>
      </c>
      <c r="AB16" s="689">
        <v>5.6000000000000001E-2</v>
      </c>
      <c r="AC16" s="689">
        <v>1.4999999999999999E-2</v>
      </c>
      <c r="AD16" s="27"/>
      <c r="AE16" s="128" t="s">
        <v>157</v>
      </c>
      <c r="AF16" s="141" t="s">
        <v>2280</v>
      </c>
      <c r="AG16" s="129" t="s">
        <v>2282</v>
      </c>
      <c r="AH16" s="142"/>
      <c r="AJ16" s="46" t="s">
        <v>17</v>
      </c>
      <c r="AK16" s="72" t="s">
        <v>17</v>
      </c>
      <c r="AQ16" s="44" t="s">
        <v>185</v>
      </c>
      <c r="AR16" s="45" t="s">
        <v>212</v>
      </c>
      <c r="AS16" s="65" t="s">
        <v>213</v>
      </c>
      <c r="AT16" s="69" t="str">
        <f t="shared" si="0"/>
        <v>処遇加算Ⅰ特定加算なしベア加算なし</v>
      </c>
      <c r="AU16" s="115" t="s">
        <v>205</v>
      </c>
      <c r="AV16" s="120" t="s">
        <v>2189</v>
      </c>
    </row>
    <row r="17" spans="1:48">
      <c r="A17" s="46" t="s">
        <v>152</v>
      </c>
      <c r="B17" s="9">
        <v>0.111</v>
      </c>
      <c r="C17" s="3">
        <v>8.1000000000000003E-2</v>
      </c>
      <c r="D17" s="7">
        <v>4.4999999999999998E-2</v>
      </c>
      <c r="E17" s="4">
        <v>0</v>
      </c>
      <c r="F17" s="9">
        <v>3.1E-2</v>
      </c>
      <c r="G17" s="28">
        <v>2.3E-2</v>
      </c>
      <c r="H17" s="4">
        <v>0</v>
      </c>
      <c r="I17" s="39">
        <v>2.3E-2</v>
      </c>
      <c r="J17" s="53">
        <v>0</v>
      </c>
      <c r="K17" s="687">
        <v>0.186</v>
      </c>
      <c r="L17" s="688">
        <v>0.17799999999999999</v>
      </c>
      <c r="M17" s="688">
        <v>0.155</v>
      </c>
      <c r="N17" s="688">
        <v>0.125</v>
      </c>
      <c r="O17" s="688">
        <v>0.16300000000000001</v>
      </c>
      <c r="P17" s="688">
        <v>0.156</v>
      </c>
      <c r="Q17" s="688">
        <v>0.155</v>
      </c>
      <c r="R17" s="688">
        <v>0.14799999999999999</v>
      </c>
      <c r="S17" s="688">
        <v>0.13300000000000001</v>
      </c>
      <c r="T17" s="688">
        <v>0.125</v>
      </c>
      <c r="U17" s="688">
        <v>0.12000000000000001</v>
      </c>
      <c r="V17" s="688">
        <v>0.13200000000000001</v>
      </c>
      <c r="W17" s="688">
        <v>0.112</v>
      </c>
      <c r="X17" s="688">
        <v>9.7000000000000003E-2</v>
      </c>
      <c r="Y17" s="688">
        <v>0.10200000000000001</v>
      </c>
      <c r="Z17" s="688">
        <v>8.900000000000001E-2</v>
      </c>
      <c r="AA17" s="688">
        <v>8.900000000000001E-2</v>
      </c>
      <c r="AB17" s="689">
        <v>6.6000000000000003E-2</v>
      </c>
      <c r="AC17" s="689">
        <v>2.1000000000000001E-2</v>
      </c>
      <c r="AD17" s="27"/>
      <c r="AE17" s="128" t="s">
        <v>152</v>
      </c>
      <c r="AF17" s="141" t="s">
        <v>2280</v>
      </c>
      <c r="AG17" s="129" t="s">
        <v>2282</v>
      </c>
      <c r="AH17" s="142"/>
      <c r="AJ17" s="46" t="s">
        <v>153</v>
      </c>
      <c r="AK17" s="72" t="s">
        <v>226</v>
      </c>
      <c r="AQ17" s="44" t="s">
        <v>187</v>
      </c>
      <c r="AR17" s="45" t="s">
        <v>21</v>
      </c>
      <c r="AS17" s="65" t="s">
        <v>184</v>
      </c>
      <c r="AT17" s="69" t="str">
        <f t="shared" si="0"/>
        <v>処遇加算Ⅲ特定加算Ⅱベア加算</v>
      </c>
      <c r="AU17" s="115" t="s">
        <v>195</v>
      </c>
      <c r="AV17" s="120" t="s">
        <v>206</v>
      </c>
    </row>
    <row r="18" spans="1:48">
      <c r="A18" s="46" t="s">
        <v>158</v>
      </c>
      <c r="B18" s="9">
        <v>8.3000000000000004E-2</v>
      </c>
      <c r="C18" s="3">
        <v>0.06</v>
      </c>
      <c r="D18" s="7">
        <v>3.3000000000000002E-2</v>
      </c>
      <c r="E18" s="4">
        <v>0</v>
      </c>
      <c r="F18" s="9">
        <v>2.7E-2</v>
      </c>
      <c r="G18" s="28">
        <v>2.3E-2</v>
      </c>
      <c r="H18" s="4">
        <v>0</v>
      </c>
      <c r="I18" s="39">
        <v>1.6E-2</v>
      </c>
      <c r="J18" s="53">
        <v>0</v>
      </c>
      <c r="K18" s="687">
        <v>0.14000000000000001</v>
      </c>
      <c r="L18" s="688">
        <v>0.13600000000000001</v>
      </c>
      <c r="M18" s="688">
        <v>0.113</v>
      </c>
      <c r="N18" s="688">
        <v>0.09</v>
      </c>
      <c r="O18" s="688">
        <v>0.124</v>
      </c>
      <c r="P18" s="688">
        <v>0.11699999999999999</v>
      </c>
      <c r="Q18" s="688">
        <v>0.12000000000000001</v>
      </c>
      <c r="R18" s="688">
        <v>0.11299999999999999</v>
      </c>
      <c r="S18" s="688">
        <v>0.10099999999999999</v>
      </c>
      <c r="T18" s="688">
        <v>9.6999999999999989E-2</v>
      </c>
      <c r="U18" s="688">
        <v>0.09</v>
      </c>
      <c r="V18" s="688">
        <v>9.7000000000000003E-2</v>
      </c>
      <c r="W18" s="688">
        <v>8.6000000000000007E-2</v>
      </c>
      <c r="X18" s="688">
        <v>7.3999999999999996E-2</v>
      </c>
      <c r="Y18" s="688">
        <v>7.3999999999999996E-2</v>
      </c>
      <c r="Z18" s="688">
        <v>7.0000000000000007E-2</v>
      </c>
      <c r="AA18" s="688">
        <v>6.3E-2</v>
      </c>
      <c r="AB18" s="689">
        <v>4.7E-2</v>
      </c>
      <c r="AC18" s="689">
        <v>1.4E-2</v>
      </c>
      <c r="AD18" s="27"/>
      <c r="AE18" s="128" t="s">
        <v>158</v>
      </c>
      <c r="AF18" s="141" t="s">
        <v>2280</v>
      </c>
      <c r="AG18" s="129" t="s">
        <v>2282</v>
      </c>
      <c r="AH18" s="143" t="s">
        <v>2285</v>
      </c>
      <c r="AJ18" s="46" t="s">
        <v>159</v>
      </c>
      <c r="AK18" s="72" t="s">
        <v>159</v>
      </c>
      <c r="AQ18" s="44" t="s">
        <v>187</v>
      </c>
      <c r="AR18" s="45" t="s">
        <v>20</v>
      </c>
      <c r="AS18" s="65" t="s">
        <v>213</v>
      </c>
      <c r="AT18" s="69" t="str">
        <f t="shared" si="0"/>
        <v>処遇加算Ⅲ特定加算Ⅰベア加算なし</v>
      </c>
      <c r="AU18" s="115" t="s">
        <v>207</v>
      </c>
      <c r="AV18" s="120" t="s">
        <v>2189</v>
      </c>
    </row>
    <row r="19" spans="1:48">
      <c r="A19" s="46" t="s">
        <v>17</v>
      </c>
      <c r="B19" s="9">
        <v>8.3000000000000004E-2</v>
      </c>
      <c r="C19" s="3">
        <v>0.06</v>
      </c>
      <c r="D19" s="7">
        <v>3.3000000000000002E-2</v>
      </c>
      <c r="E19" s="4">
        <v>0</v>
      </c>
      <c r="F19" s="9">
        <v>2.7E-2</v>
      </c>
      <c r="G19" s="28">
        <v>2.3E-2</v>
      </c>
      <c r="H19" s="4">
        <v>0</v>
      </c>
      <c r="I19" s="39">
        <v>1.6E-2</v>
      </c>
      <c r="J19" s="53">
        <v>0</v>
      </c>
      <c r="K19" s="687">
        <v>0.14000000000000001</v>
      </c>
      <c r="L19" s="688">
        <v>0.13600000000000001</v>
      </c>
      <c r="M19" s="688">
        <v>0.113</v>
      </c>
      <c r="N19" s="688">
        <v>0.09</v>
      </c>
      <c r="O19" s="688">
        <v>0.124</v>
      </c>
      <c r="P19" s="688">
        <v>0.11699999999999999</v>
      </c>
      <c r="Q19" s="688">
        <v>0.12000000000000001</v>
      </c>
      <c r="R19" s="688">
        <v>0.11299999999999999</v>
      </c>
      <c r="S19" s="688">
        <v>0.10099999999999999</v>
      </c>
      <c r="T19" s="688">
        <v>9.6999999999999989E-2</v>
      </c>
      <c r="U19" s="688">
        <v>0.09</v>
      </c>
      <c r="V19" s="688">
        <v>9.7000000000000003E-2</v>
      </c>
      <c r="W19" s="688">
        <v>8.6000000000000007E-2</v>
      </c>
      <c r="X19" s="688">
        <v>7.3999999999999996E-2</v>
      </c>
      <c r="Y19" s="688">
        <v>7.3999999999999996E-2</v>
      </c>
      <c r="Z19" s="688">
        <v>7.0000000000000007E-2</v>
      </c>
      <c r="AA19" s="688">
        <v>6.3E-2</v>
      </c>
      <c r="AB19" s="689">
        <v>4.7E-2</v>
      </c>
      <c r="AC19" s="689">
        <v>1.4E-2</v>
      </c>
      <c r="AD19" s="27"/>
      <c r="AE19" s="128" t="s">
        <v>17</v>
      </c>
      <c r="AF19" s="141" t="s">
        <v>2280</v>
      </c>
      <c r="AG19" s="129" t="s">
        <v>2282</v>
      </c>
      <c r="AH19" s="143" t="s">
        <v>2285</v>
      </c>
      <c r="AJ19" s="46" t="s">
        <v>154</v>
      </c>
      <c r="AK19" s="72" t="s">
        <v>227</v>
      </c>
      <c r="AQ19" s="44" t="s">
        <v>186</v>
      </c>
      <c r="AR19" s="45" t="s">
        <v>212</v>
      </c>
      <c r="AS19" s="65" t="s">
        <v>213</v>
      </c>
      <c r="AT19" s="69" t="str">
        <f t="shared" si="0"/>
        <v>処遇加算Ⅱ特定加算なしベア加算なし</v>
      </c>
      <c r="AU19" s="115" t="s">
        <v>208</v>
      </c>
      <c r="AV19" s="120" t="s">
        <v>2189</v>
      </c>
    </row>
    <row r="20" spans="1:48">
      <c r="A20" s="46" t="s">
        <v>153</v>
      </c>
      <c r="B20" s="9">
        <v>8.3000000000000004E-2</v>
      </c>
      <c r="C20" s="3">
        <v>0.06</v>
      </c>
      <c r="D20" s="7">
        <v>3.3000000000000002E-2</v>
      </c>
      <c r="E20" s="4">
        <v>0</v>
      </c>
      <c r="F20" s="9">
        <v>2.7E-2</v>
      </c>
      <c r="G20" s="28">
        <v>2.3E-2</v>
      </c>
      <c r="H20" s="4">
        <v>0</v>
      </c>
      <c r="I20" s="39">
        <v>1.6E-2</v>
      </c>
      <c r="J20" s="53">
        <v>0</v>
      </c>
      <c r="K20" s="687">
        <v>0.14000000000000001</v>
      </c>
      <c r="L20" s="688">
        <v>0.13600000000000001</v>
      </c>
      <c r="M20" s="688">
        <v>0.113</v>
      </c>
      <c r="N20" s="688">
        <v>0.09</v>
      </c>
      <c r="O20" s="688">
        <v>0.124</v>
      </c>
      <c r="P20" s="688">
        <v>0.11699999999999999</v>
      </c>
      <c r="Q20" s="688">
        <v>0.12000000000000001</v>
      </c>
      <c r="R20" s="688">
        <v>0.11299999999999999</v>
      </c>
      <c r="S20" s="688">
        <v>0.10099999999999999</v>
      </c>
      <c r="T20" s="688">
        <v>9.6999999999999989E-2</v>
      </c>
      <c r="U20" s="688">
        <v>0.09</v>
      </c>
      <c r="V20" s="688">
        <v>9.7000000000000003E-2</v>
      </c>
      <c r="W20" s="688">
        <v>8.6000000000000007E-2</v>
      </c>
      <c r="X20" s="688">
        <v>7.3999999999999996E-2</v>
      </c>
      <c r="Y20" s="688">
        <v>7.3999999999999996E-2</v>
      </c>
      <c r="Z20" s="688">
        <v>7.0000000000000007E-2</v>
      </c>
      <c r="AA20" s="688">
        <v>6.3E-2</v>
      </c>
      <c r="AB20" s="689">
        <v>4.7E-2</v>
      </c>
      <c r="AC20" s="689">
        <v>1.4E-2</v>
      </c>
      <c r="AD20" s="27"/>
      <c r="AE20" s="128" t="s">
        <v>153</v>
      </c>
      <c r="AF20" s="141" t="s">
        <v>2280</v>
      </c>
      <c r="AG20" s="129" t="s">
        <v>2282</v>
      </c>
      <c r="AH20" s="143" t="s">
        <v>2403</v>
      </c>
      <c r="AJ20" s="46" t="s">
        <v>155</v>
      </c>
      <c r="AK20" s="72" t="s">
        <v>228</v>
      </c>
      <c r="AQ20" s="44" t="s">
        <v>187</v>
      </c>
      <c r="AR20" s="45" t="s">
        <v>21</v>
      </c>
      <c r="AS20" s="65" t="s">
        <v>213</v>
      </c>
      <c r="AT20" s="69" t="str">
        <f t="shared" si="0"/>
        <v>処遇加算Ⅲ特定加算Ⅱベア加算なし</v>
      </c>
      <c r="AU20" s="115" t="s">
        <v>209</v>
      </c>
      <c r="AV20" s="120" t="s">
        <v>2189</v>
      </c>
    </row>
    <row r="21" spans="1:48">
      <c r="A21" s="46" t="s">
        <v>159</v>
      </c>
      <c r="B21" s="9">
        <v>3.9E-2</v>
      </c>
      <c r="C21" s="3">
        <v>2.9000000000000001E-2</v>
      </c>
      <c r="D21" s="7">
        <v>1.6E-2</v>
      </c>
      <c r="E21" s="4">
        <v>0</v>
      </c>
      <c r="F21" s="9">
        <v>2.1000000000000001E-2</v>
      </c>
      <c r="G21" s="28">
        <v>1.7000000000000001E-2</v>
      </c>
      <c r="H21" s="4">
        <v>0</v>
      </c>
      <c r="I21" s="39">
        <v>8.0000000000000002E-3</v>
      </c>
      <c r="J21" s="53">
        <v>0</v>
      </c>
      <c r="K21" s="687">
        <v>7.5000000000000011E-2</v>
      </c>
      <c r="L21" s="688">
        <v>7.1000000000000008E-2</v>
      </c>
      <c r="M21" s="688">
        <v>5.3999999999999999E-2</v>
      </c>
      <c r="N21" s="688">
        <v>4.4000000000000004E-2</v>
      </c>
      <c r="O21" s="688">
        <v>6.7000000000000004E-2</v>
      </c>
      <c r="P21" s="688">
        <v>6.5000000000000002E-2</v>
      </c>
      <c r="Q21" s="688">
        <v>6.3E-2</v>
      </c>
      <c r="R21" s="688">
        <v>6.0999999999999999E-2</v>
      </c>
      <c r="S21" s="688">
        <v>5.7000000000000002E-2</v>
      </c>
      <c r="T21" s="688">
        <v>5.2999999999999999E-2</v>
      </c>
      <c r="U21" s="688">
        <v>5.2000000000000005E-2</v>
      </c>
      <c r="V21" s="688">
        <v>4.5999999999999999E-2</v>
      </c>
      <c r="W21" s="688">
        <v>4.8000000000000001E-2</v>
      </c>
      <c r="X21" s="688">
        <v>4.4000000000000004E-2</v>
      </c>
      <c r="Y21" s="688">
        <v>3.6000000000000004E-2</v>
      </c>
      <c r="Z21" s="688">
        <v>0.04</v>
      </c>
      <c r="AA21" s="688">
        <v>3.1E-2</v>
      </c>
      <c r="AB21" s="689">
        <v>2.3E-2</v>
      </c>
      <c r="AC21" s="689">
        <v>7.0000000000000001E-3</v>
      </c>
      <c r="AD21" s="27"/>
      <c r="AE21" s="128" t="s">
        <v>159</v>
      </c>
      <c r="AF21" s="141" t="s">
        <v>2280</v>
      </c>
      <c r="AG21" s="129" t="s">
        <v>2282</v>
      </c>
      <c r="AH21" s="142"/>
      <c r="AJ21" s="46" t="s">
        <v>161</v>
      </c>
      <c r="AK21" s="72" t="s">
        <v>161</v>
      </c>
      <c r="AQ21" s="44" t="s">
        <v>187</v>
      </c>
      <c r="AR21" s="45" t="s">
        <v>212</v>
      </c>
      <c r="AS21" s="65" t="s">
        <v>184</v>
      </c>
      <c r="AT21" s="69" t="str">
        <f t="shared" si="0"/>
        <v>処遇加算Ⅲ特定加算なしベア加算</v>
      </c>
      <c r="AU21" s="115" t="s">
        <v>197</v>
      </c>
      <c r="AV21" s="120" t="s">
        <v>210</v>
      </c>
    </row>
    <row r="22" spans="1:48" ht="14.25" thickBot="1">
      <c r="A22" s="46" t="s">
        <v>154</v>
      </c>
      <c r="B22" s="9">
        <v>3.9E-2</v>
      </c>
      <c r="C22" s="3">
        <v>2.9000000000000001E-2</v>
      </c>
      <c r="D22" s="7">
        <v>1.6E-2</v>
      </c>
      <c r="E22" s="4">
        <v>0</v>
      </c>
      <c r="F22" s="9">
        <v>2.1000000000000001E-2</v>
      </c>
      <c r="G22" s="28">
        <v>1.7000000000000001E-2</v>
      </c>
      <c r="H22" s="4">
        <v>0</v>
      </c>
      <c r="I22" s="39">
        <v>8.0000000000000002E-3</v>
      </c>
      <c r="J22" s="53">
        <v>0</v>
      </c>
      <c r="K22" s="687">
        <v>7.5000000000000011E-2</v>
      </c>
      <c r="L22" s="688">
        <v>7.1000000000000008E-2</v>
      </c>
      <c r="M22" s="688">
        <v>5.3999999999999999E-2</v>
      </c>
      <c r="N22" s="688">
        <v>4.4000000000000004E-2</v>
      </c>
      <c r="O22" s="688">
        <v>6.7000000000000004E-2</v>
      </c>
      <c r="P22" s="688">
        <v>6.5000000000000002E-2</v>
      </c>
      <c r="Q22" s="688">
        <v>6.3E-2</v>
      </c>
      <c r="R22" s="688">
        <v>6.0999999999999999E-2</v>
      </c>
      <c r="S22" s="688">
        <v>5.7000000000000002E-2</v>
      </c>
      <c r="T22" s="688">
        <v>5.2999999999999999E-2</v>
      </c>
      <c r="U22" s="688">
        <v>5.2000000000000005E-2</v>
      </c>
      <c r="V22" s="688">
        <v>4.5999999999999999E-2</v>
      </c>
      <c r="W22" s="688">
        <v>4.8000000000000001E-2</v>
      </c>
      <c r="X22" s="688">
        <v>4.4000000000000004E-2</v>
      </c>
      <c r="Y22" s="688">
        <v>3.6000000000000004E-2</v>
      </c>
      <c r="Z22" s="688">
        <v>0.04</v>
      </c>
      <c r="AA22" s="688">
        <v>3.1E-2</v>
      </c>
      <c r="AB22" s="689">
        <v>2.3E-2</v>
      </c>
      <c r="AC22" s="689">
        <v>7.0000000000000001E-3</v>
      </c>
      <c r="AD22" s="27"/>
      <c r="AE22" s="128" t="s">
        <v>154</v>
      </c>
      <c r="AF22" s="141" t="s">
        <v>2280</v>
      </c>
      <c r="AG22" s="129" t="s">
        <v>2282</v>
      </c>
      <c r="AH22" s="143" t="s">
        <v>2404</v>
      </c>
      <c r="AJ22" s="48" t="s">
        <v>162</v>
      </c>
      <c r="AK22" s="73" t="s">
        <v>229</v>
      </c>
      <c r="AQ22" s="60" t="s">
        <v>187</v>
      </c>
      <c r="AR22" s="61" t="s">
        <v>212</v>
      </c>
      <c r="AS22" s="66" t="s">
        <v>213</v>
      </c>
      <c r="AT22" s="70" t="str">
        <f t="shared" si="0"/>
        <v>処遇加算Ⅲ特定加算なしベア加算なし</v>
      </c>
      <c r="AU22" s="116" t="s">
        <v>211</v>
      </c>
      <c r="AV22" s="121" t="s">
        <v>2189</v>
      </c>
    </row>
    <row r="23" spans="1:48">
      <c r="A23" s="46" t="s">
        <v>155</v>
      </c>
      <c r="B23" s="9">
        <v>2.5999999999999999E-2</v>
      </c>
      <c r="C23" s="3">
        <v>1.9E-2</v>
      </c>
      <c r="D23" s="7">
        <v>0.01</v>
      </c>
      <c r="E23" s="4">
        <v>0</v>
      </c>
      <c r="F23" s="9">
        <v>1.4999999999999999E-2</v>
      </c>
      <c r="G23" s="28">
        <v>1.0999999999999999E-2</v>
      </c>
      <c r="H23" s="4">
        <v>0</v>
      </c>
      <c r="I23" s="39">
        <v>5.0000000000000001E-3</v>
      </c>
      <c r="J23" s="53">
        <v>0</v>
      </c>
      <c r="K23" s="687">
        <v>5.099999999999999E-2</v>
      </c>
      <c r="L23" s="688">
        <v>4.6999999999999993E-2</v>
      </c>
      <c r="M23" s="688">
        <v>3.5999999999999997E-2</v>
      </c>
      <c r="N23" s="688">
        <v>2.9000000000000001E-2</v>
      </c>
      <c r="O23" s="688">
        <v>4.5999999999999992E-2</v>
      </c>
      <c r="P23" s="688">
        <v>4.3999999999999997E-2</v>
      </c>
      <c r="Q23" s="688">
        <v>4.1999999999999996E-2</v>
      </c>
      <c r="R23" s="688">
        <v>3.9999999999999994E-2</v>
      </c>
      <c r="S23" s="688">
        <v>3.9E-2</v>
      </c>
      <c r="T23" s="688">
        <v>3.4999999999999996E-2</v>
      </c>
      <c r="U23" s="688">
        <v>3.5000000000000003E-2</v>
      </c>
      <c r="V23" s="688">
        <v>3.1E-2</v>
      </c>
      <c r="W23" s="688">
        <v>3.1E-2</v>
      </c>
      <c r="X23" s="688">
        <v>3.0000000000000002E-2</v>
      </c>
      <c r="Y23" s="688">
        <v>2.4E-2</v>
      </c>
      <c r="Z23" s="688">
        <v>2.5999999999999999E-2</v>
      </c>
      <c r="AA23" s="688">
        <v>0.02</v>
      </c>
      <c r="AB23" s="689">
        <v>1.4999999999999999E-2</v>
      </c>
      <c r="AC23" s="689">
        <v>5.0000000000000001E-3</v>
      </c>
      <c r="AD23" s="27"/>
      <c r="AE23" s="128" t="s">
        <v>155</v>
      </c>
      <c r="AF23" s="141" t="s">
        <v>2280</v>
      </c>
      <c r="AG23" s="129" t="s">
        <v>2282</v>
      </c>
      <c r="AH23" s="143"/>
      <c r="AJ23" s="49" t="s">
        <v>163</v>
      </c>
      <c r="AK23" s="74" t="s">
        <v>230</v>
      </c>
    </row>
    <row r="24" spans="1:48" ht="14.25" thickBot="1">
      <c r="A24" s="46" t="s">
        <v>161</v>
      </c>
      <c r="B24" s="9">
        <v>2.5999999999999999E-2</v>
      </c>
      <c r="C24" s="3">
        <v>1.9E-2</v>
      </c>
      <c r="D24" s="7">
        <v>0.01</v>
      </c>
      <c r="E24" s="4">
        <v>0</v>
      </c>
      <c r="F24" s="9">
        <v>1.4999999999999999E-2</v>
      </c>
      <c r="G24" s="28">
        <v>1.0999999999999999E-2</v>
      </c>
      <c r="H24" s="4">
        <v>0</v>
      </c>
      <c r="I24" s="39">
        <v>5.0000000000000001E-3</v>
      </c>
      <c r="J24" s="53">
        <v>0</v>
      </c>
      <c r="K24" s="687">
        <v>5.099999999999999E-2</v>
      </c>
      <c r="L24" s="688">
        <v>4.6999999999999993E-2</v>
      </c>
      <c r="M24" s="688">
        <v>3.5999999999999997E-2</v>
      </c>
      <c r="N24" s="688">
        <v>2.9000000000000001E-2</v>
      </c>
      <c r="O24" s="688">
        <v>4.5999999999999992E-2</v>
      </c>
      <c r="P24" s="688">
        <v>4.3999999999999997E-2</v>
      </c>
      <c r="Q24" s="688">
        <v>4.1999999999999996E-2</v>
      </c>
      <c r="R24" s="688">
        <v>3.9999999999999994E-2</v>
      </c>
      <c r="S24" s="688">
        <v>3.9E-2</v>
      </c>
      <c r="T24" s="688">
        <v>3.4999999999999996E-2</v>
      </c>
      <c r="U24" s="688">
        <v>3.5000000000000003E-2</v>
      </c>
      <c r="V24" s="688">
        <v>3.1E-2</v>
      </c>
      <c r="W24" s="688">
        <v>3.1E-2</v>
      </c>
      <c r="X24" s="688">
        <v>3.0000000000000002E-2</v>
      </c>
      <c r="Y24" s="688">
        <v>2.4E-2</v>
      </c>
      <c r="Z24" s="688">
        <v>2.5999999999999999E-2</v>
      </c>
      <c r="AA24" s="688">
        <v>0.02</v>
      </c>
      <c r="AB24" s="689">
        <v>1.4999999999999999E-2</v>
      </c>
      <c r="AC24" s="689">
        <v>5.0000000000000001E-3</v>
      </c>
      <c r="AD24" s="27"/>
      <c r="AE24" s="128" t="s">
        <v>161</v>
      </c>
      <c r="AF24" s="141" t="s">
        <v>2280</v>
      </c>
      <c r="AG24" s="129" t="s">
        <v>2282</v>
      </c>
      <c r="AH24" s="142"/>
      <c r="AJ24" s="48" t="s">
        <v>164</v>
      </c>
      <c r="AK24" s="73" t="s">
        <v>231</v>
      </c>
    </row>
    <row r="25" spans="1:48" ht="14.25" thickBot="1">
      <c r="A25" s="48" t="s">
        <v>162</v>
      </c>
      <c r="B25" s="10">
        <v>2.5999999999999999E-2</v>
      </c>
      <c r="C25" s="5">
        <v>1.9E-2</v>
      </c>
      <c r="D25" s="8">
        <v>0.01</v>
      </c>
      <c r="E25" s="56">
        <v>0</v>
      </c>
      <c r="F25" s="54">
        <v>1.4999999999999999E-2</v>
      </c>
      <c r="G25" s="55">
        <v>1.0999999999999999E-2</v>
      </c>
      <c r="H25" s="56">
        <v>0</v>
      </c>
      <c r="I25" s="50">
        <v>5.0000000000000001E-3</v>
      </c>
      <c r="J25" s="59">
        <v>0</v>
      </c>
      <c r="K25" s="690">
        <v>5.099999999999999E-2</v>
      </c>
      <c r="L25" s="691">
        <v>4.6999999999999993E-2</v>
      </c>
      <c r="M25" s="691">
        <v>3.5999999999999997E-2</v>
      </c>
      <c r="N25" s="691">
        <v>2.9000000000000001E-2</v>
      </c>
      <c r="O25" s="691">
        <v>4.5999999999999992E-2</v>
      </c>
      <c r="P25" s="691">
        <v>4.3999999999999997E-2</v>
      </c>
      <c r="Q25" s="691">
        <v>4.1999999999999996E-2</v>
      </c>
      <c r="R25" s="691">
        <v>3.9999999999999994E-2</v>
      </c>
      <c r="S25" s="691">
        <v>3.9E-2</v>
      </c>
      <c r="T25" s="691">
        <v>3.4999999999999996E-2</v>
      </c>
      <c r="U25" s="691">
        <v>3.5000000000000003E-2</v>
      </c>
      <c r="V25" s="691">
        <v>3.1E-2</v>
      </c>
      <c r="W25" s="691">
        <v>3.1E-2</v>
      </c>
      <c r="X25" s="691">
        <v>3.0000000000000002E-2</v>
      </c>
      <c r="Y25" s="691">
        <v>2.4E-2</v>
      </c>
      <c r="Z25" s="691">
        <v>2.5999999999999999E-2</v>
      </c>
      <c r="AA25" s="691">
        <v>0.02</v>
      </c>
      <c r="AB25" s="692">
        <v>1.4999999999999999E-2</v>
      </c>
      <c r="AC25" s="692">
        <v>5.0000000000000001E-3</v>
      </c>
      <c r="AD25" s="27"/>
      <c r="AE25" s="130" t="s">
        <v>162</v>
      </c>
      <c r="AF25" s="144" t="s">
        <v>2280</v>
      </c>
      <c r="AG25" s="131" t="s">
        <v>2282</v>
      </c>
      <c r="AH25" s="145" t="s">
        <v>2403</v>
      </c>
    </row>
    <row r="26" spans="1:48" ht="24">
      <c r="A26" s="49" t="s">
        <v>163</v>
      </c>
      <c r="B26" s="11">
        <v>0.13700000000000001</v>
      </c>
      <c r="C26" s="12">
        <v>0.1</v>
      </c>
      <c r="D26" s="13">
        <v>5.5E-2</v>
      </c>
      <c r="E26" s="57">
        <v>0</v>
      </c>
      <c r="F26" s="11">
        <v>6.3E-2</v>
      </c>
      <c r="G26" s="30">
        <v>4.2000000000000003E-2</v>
      </c>
      <c r="H26" s="57">
        <v>0</v>
      </c>
      <c r="I26" s="40">
        <v>2.4E-2</v>
      </c>
      <c r="J26" s="57">
        <v>0</v>
      </c>
      <c r="K26" s="693">
        <v>0.245</v>
      </c>
      <c r="L26" s="694">
        <v>0.224</v>
      </c>
      <c r="M26" s="694">
        <v>0.182</v>
      </c>
      <c r="N26" s="694">
        <v>0.14499999999999999</v>
      </c>
      <c r="O26" s="694">
        <v>0.221</v>
      </c>
      <c r="P26" s="694">
        <v>0.20799999999999999</v>
      </c>
      <c r="Q26" s="694">
        <v>0.2</v>
      </c>
      <c r="R26" s="694">
        <v>0.187</v>
      </c>
      <c r="S26" s="694">
        <v>0.184</v>
      </c>
      <c r="T26" s="694">
        <v>0.16300000000000001</v>
      </c>
      <c r="U26" s="694">
        <v>0.16299999999999998</v>
      </c>
      <c r="V26" s="694">
        <v>0.158</v>
      </c>
      <c r="W26" s="694">
        <v>0.14199999999999999</v>
      </c>
      <c r="X26" s="694">
        <v>0.13899999999999998</v>
      </c>
      <c r="Y26" s="694">
        <v>0.12100000000000001</v>
      </c>
      <c r="Z26" s="694">
        <v>0.11800000000000001</v>
      </c>
      <c r="AA26" s="694">
        <v>0.1</v>
      </c>
      <c r="AB26" s="695">
        <v>7.5999999999999998E-2</v>
      </c>
      <c r="AC26" s="695">
        <v>2.1000000000000001E-2</v>
      </c>
      <c r="AD26" s="27"/>
      <c r="AE26" s="132" t="s">
        <v>163</v>
      </c>
      <c r="AF26" s="146" t="s">
        <v>2352</v>
      </c>
      <c r="AG26" s="133" t="s">
        <v>2286</v>
      </c>
      <c r="AH26" s="140"/>
    </row>
    <row r="27" spans="1:48" ht="14.25" thickBot="1">
      <c r="A27" s="48" t="s">
        <v>164</v>
      </c>
      <c r="B27" s="10">
        <v>5.8999999999999997E-2</v>
      </c>
      <c r="C27" s="5">
        <v>4.2999999999999997E-2</v>
      </c>
      <c r="D27" s="8">
        <v>2.3E-2</v>
      </c>
      <c r="E27" s="6">
        <v>0</v>
      </c>
      <c r="F27" s="10">
        <v>1.2E-2</v>
      </c>
      <c r="G27" s="29">
        <v>0.01</v>
      </c>
      <c r="H27" s="6">
        <v>0</v>
      </c>
      <c r="I27" s="41">
        <v>1.0999999999999999E-2</v>
      </c>
      <c r="J27" s="6">
        <v>0</v>
      </c>
      <c r="K27" s="690">
        <v>9.1999999999999985E-2</v>
      </c>
      <c r="L27" s="691">
        <v>8.9999999999999983E-2</v>
      </c>
      <c r="M27" s="691">
        <v>7.9999999999999988E-2</v>
      </c>
      <c r="N27" s="691">
        <v>6.3999999999999987E-2</v>
      </c>
      <c r="O27" s="691">
        <v>8.0999999999999989E-2</v>
      </c>
      <c r="P27" s="691">
        <v>7.5999999999999984E-2</v>
      </c>
      <c r="Q27" s="691">
        <v>7.8999999999999987E-2</v>
      </c>
      <c r="R27" s="691">
        <v>7.3999999999999996E-2</v>
      </c>
      <c r="S27" s="691">
        <v>6.4999999999999988E-2</v>
      </c>
      <c r="T27" s="691">
        <v>6.3E-2</v>
      </c>
      <c r="U27" s="691">
        <v>5.6000000000000001E-2</v>
      </c>
      <c r="V27" s="691">
        <v>6.8999999999999992E-2</v>
      </c>
      <c r="W27" s="691">
        <v>5.3999999999999999E-2</v>
      </c>
      <c r="X27" s="691">
        <v>4.5000000000000005E-2</v>
      </c>
      <c r="Y27" s="691">
        <v>5.2999999999999999E-2</v>
      </c>
      <c r="Z27" s="691">
        <v>4.3000000000000003E-2</v>
      </c>
      <c r="AA27" s="691">
        <v>4.4000000000000004E-2</v>
      </c>
      <c r="AB27" s="692">
        <v>3.3000000000000002E-2</v>
      </c>
      <c r="AC27" s="692">
        <v>0.01</v>
      </c>
      <c r="AD27" s="27"/>
      <c r="AE27" s="130" t="s">
        <v>164</v>
      </c>
      <c r="AF27" s="147" t="s">
        <v>2279</v>
      </c>
      <c r="AG27" s="148" t="s">
        <v>2281</v>
      </c>
      <c r="AH27" s="149" t="s">
        <v>2287</v>
      </c>
    </row>
    <row r="28" spans="1:48">
      <c r="K28" s="27"/>
      <c r="L28" s="27"/>
      <c r="M28" s="27"/>
      <c r="N28" s="27"/>
      <c r="O28" s="27"/>
      <c r="P28" s="27"/>
      <c r="Q28" s="27"/>
      <c r="R28" s="27"/>
      <c r="S28" s="27"/>
      <c r="T28" s="27"/>
      <c r="U28" s="27"/>
      <c r="V28" s="27"/>
      <c r="W28" s="27"/>
      <c r="X28" s="27"/>
      <c r="Y28" s="27"/>
      <c r="Z28" s="27"/>
      <c r="AA28" s="27"/>
      <c r="AB28" s="27"/>
      <c r="AC28" s="27"/>
      <c r="AD28" s="27"/>
      <c r="AE28" s="106"/>
    </row>
    <row r="29" spans="1:48">
      <c r="K29" s="27"/>
      <c r="L29" s="27"/>
      <c r="M29" s="27"/>
      <c r="N29" s="27"/>
      <c r="O29" s="27"/>
      <c r="P29" s="27"/>
      <c r="Q29" s="27"/>
      <c r="R29" s="27"/>
      <c r="S29" s="27"/>
      <c r="T29" s="27"/>
      <c r="U29" s="27"/>
      <c r="V29" s="27"/>
      <c r="W29" s="27"/>
      <c r="X29" s="27"/>
      <c r="Y29" s="27"/>
      <c r="Z29" s="27"/>
      <c r="AA29" s="27"/>
      <c r="AB29" s="27"/>
      <c r="AC29" s="27"/>
      <c r="AD29" s="27"/>
      <c r="AE29" s="1599" t="s">
        <v>2110</v>
      </c>
      <c r="AF29" s="1599"/>
      <c r="AG29" s="1599"/>
      <c r="AH29" s="1599"/>
    </row>
    <row r="30" spans="1:48" ht="13.5" customHeight="1">
      <c r="K30" s="27"/>
      <c r="L30" s="27"/>
      <c r="M30" s="27"/>
      <c r="N30" s="27"/>
      <c r="O30" s="27"/>
      <c r="P30" s="27"/>
      <c r="Q30" s="27"/>
      <c r="R30" s="27"/>
      <c r="S30" s="27"/>
      <c r="T30" s="27"/>
      <c r="U30" s="27"/>
      <c r="V30" s="27"/>
      <c r="W30" s="27"/>
      <c r="X30" s="27"/>
      <c r="Y30" s="27"/>
      <c r="Z30" s="27"/>
      <c r="AA30" s="27"/>
      <c r="AB30" s="27"/>
      <c r="AC30" s="27"/>
      <c r="AD30" s="27"/>
      <c r="AE30" s="1606" t="s">
        <v>2276</v>
      </c>
      <c r="AF30" s="1606"/>
      <c r="AG30" s="1606"/>
      <c r="AH30" s="1606"/>
    </row>
    <row r="31" spans="1:48">
      <c r="K31" s="27"/>
      <c r="L31" s="27"/>
      <c r="M31" s="27"/>
      <c r="N31" s="27"/>
      <c r="O31" s="27"/>
      <c r="P31" s="27"/>
      <c r="Q31" s="27"/>
      <c r="R31" s="27"/>
      <c r="S31" s="27"/>
      <c r="T31" s="27"/>
      <c r="U31" s="27"/>
      <c r="V31" s="27"/>
      <c r="W31" s="27"/>
      <c r="X31" s="27"/>
      <c r="Y31" s="27"/>
      <c r="Z31" s="27"/>
      <c r="AA31" s="27"/>
      <c r="AB31" s="27"/>
      <c r="AC31" s="27"/>
      <c r="AD31" s="27"/>
      <c r="AE31" s="1606"/>
      <c r="AF31" s="1606"/>
      <c r="AG31" s="1606"/>
      <c r="AH31" s="1606"/>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V2:AV4"/>
    <mergeCell ref="B2:E2"/>
    <mergeCell ref="B3:E3"/>
    <mergeCell ref="A2:A4"/>
    <mergeCell ref="K2:AB2"/>
    <mergeCell ref="K3:AB3"/>
    <mergeCell ref="F3:H3"/>
    <mergeCell ref="F2:H2"/>
    <mergeCell ref="I2:J3"/>
    <mergeCell ref="AT2:AT4"/>
    <mergeCell ref="AU2:AU4"/>
    <mergeCell ref="AF2:AH4"/>
    <mergeCell ref="AE2:AE4"/>
    <mergeCell ref="AC2:AC4"/>
    <mergeCell ref="AE29:AH29"/>
    <mergeCell ref="AQ2:AQ4"/>
    <mergeCell ref="AR2:AR4"/>
    <mergeCell ref="AS2:AS4"/>
    <mergeCell ref="AE30:AH31"/>
  </mergeCells>
  <phoneticPr fontId="34"/>
  <pageMargins left="0.70866141732283472" right="0.7086614173228347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8E6F-3353-4F9E-9540-675BD54F87D2}">
  <sheetPr codeName="Sheet5"/>
  <dimension ref="A1:K1749"/>
  <sheetViews>
    <sheetView workbookViewId="0">
      <selection activeCell="W12" sqref="W12:AH13"/>
    </sheetView>
  </sheetViews>
  <sheetFormatPr defaultColWidth="9" defaultRowHeight="13.5"/>
  <cols>
    <col min="1" max="1" width="15.125" bestFit="1" customWidth="1"/>
    <col min="3" max="3" width="16.625" bestFit="1" customWidth="1"/>
    <col min="4" max="4" width="16" bestFit="1" customWidth="1"/>
    <col min="6" max="6" width="19.5" bestFit="1" customWidth="1"/>
    <col min="10" max="10" width="45.875" customWidth="1"/>
    <col min="11" max="11" width="12.125" bestFit="1" customWidth="1"/>
  </cols>
  <sheetData>
    <row r="1" spans="1:11" ht="14.25" thickBot="1">
      <c r="A1" s="2" t="s">
        <v>2097</v>
      </c>
      <c r="C1" t="s">
        <v>2096</v>
      </c>
      <c r="F1" t="s">
        <v>2095</v>
      </c>
    </row>
    <row r="2" spans="1:11" ht="14.25" thickBot="1">
      <c r="A2" s="104" t="s">
        <v>89</v>
      </c>
      <c r="C2" s="100" t="s">
        <v>2094</v>
      </c>
      <c r="D2" s="99" t="s">
        <v>2093</v>
      </c>
      <c r="F2" s="103" t="s">
        <v>2092</v>
      </c>
      <c r="G2" s="102">
        <v>0.7</v>
      </c>
      <c r="H2" s="102">
        <v>0.55000000000000004</v>
      </c>
      <c r="I2" s="101">
        <v>0.45</v>
      </c>
      <c r="J2" s="100" t="s">
        <v>2091</v>
      </c>
      <c r="K2" s="99" t="s">
        <v>2090</v>
      </c>
    </row>
    <row r="3" spans="1:11">
      <c r="A3" s="98" t="s">
        <v>1871</v>
      </c>
      <c r="C3" s="94" t="s">
        <v>1871</v>
      </c>
      <c r="D3" s="97" t="s">
        <v>1767</v>
      </c>
      <c r="F3" s="94" t="s">
        <v>2089</v>
      </c>
      <c r="G3" s="96">
        <v>11.4</v>
      </c>
      <c r="H3" s="96">
        <v>11.1</v>
      </c>
      <c r="I3" s="95">
        <v>10.9</v>
      </c>
      <c r="J3" s="94" t="s">
        <v>145</v>
      </c>
      <c r="K3" s="93">
        <v>0.7</v>
      </c>
    </row>
    <row r="4" spans="1:11">
      <c r="A4" s="86" t="s">
        <v>1827</v>
      </c>
      <c r="C4" s="82" t="s">
        <v>1871</v>
      </c>
      <c r="D4" s="81" t="s">
        <v>2088</v>
      </c>
      <c r="F4" s="82" t="s">
        <v>2087</v>
      </c>
      <c r="G4" s="91">
        <v>11.4</v>
      </c>
      <c r="H4" s="91">
        <v>11.1</v>
      </c>
      <c r="I4" s="90">
        <v>10.9</v>
      </c>
      <c r="J4" s="82" t="s">
        <v>14</v>
      </c>
      <c r="K4" s="92">
        <v>0.7</v>
      </c>
    </row>
    <row r="5" spans="1:11">
      <c r="A5" s="86" t="s">
        <v>1791</v>
      </c>
      <c r="C5" s="82" t="s">
        <v>1871</v>
      </c>
      <c r="D5" s="81" t="s">
        <v>2086</v>
      </c>
      <c r="F5" s="82" t="s">
        <v>2085</v>
      </c>
      <c r="G5" s="91">
        <v>11.4</v>
      </c>
      <c r="H5" s="91">
        <v>11.1</v>
      </c>
      <c r="I5" s="90">
        <v>10.9</v>
      </c>
      <c r="J5" s="82" t="s">
        <v>146</v>
      </c>
      <c r="K5" s="92">
        <v>0.7</v>
      </c>
    </row>
    <row r="6" spans="1:11">
      <c r="A6" s="86" t="s">
        <v>1755</v>
      </c>
      <c r="C6" s="82" t="s">
        <v>1871</v>
      </c>
      <c r="D6" s="81" t="s">
        <v>2084</v>
      </c>
      <c r="F6" s="82" t="s">
        <v>2083</v>
      </c>
      <c r="G6" s="91">
        <v>11.4</v>
      </c>
      <c r="H6" s="91">
        <v>11.1</v>
      </c>
      <c r="I6" s="90">
        <v>10.9</v>
      </c>
      <c r="J6" s="82" t="s">
        <v>156</v>
      </c>
      <c r="K6" s="92">
        <v>0.7</v>
      </c>
    </row>
    <row r="7" spans="1:11">
      <c r="A7" s="86" t="s">
        <v>1728</v>
      </c>
      <c r="C7" s="82" t="s">
        <v>1871</v>
      </c>
      <c r="D7" s="81" t="s">
        <v>2082</v>
      </c>
      <c r="F7" s="82" t="s">
        <v>2081</v>
      </c>
      <c r="G7" s="91">
        <v>11.4</v>
      </c>
      <c r="H7" s="91">
        <v>11.1</v>
      </c>
      <c r="I7" s="90">
        <v>10.9</v>
      </c>
      <c r="J7" s="82" t="s">
        <v>147</v>
      </c>
      <c r="K7" s="92">
        <v>0.45</v>
      </c>
    </row>
    <row r="8" spans="1:11">
      <c r="A8" s="86" t="s">
        <v>1690</v>
      </c>
      <c r="C8" s="82" t="s">
        <v>1871</v>
      </c>
      <c r="D8" s="81" t="s">
        <v>2080</v>
      </c>
      <c r="F8" s="82" t="s">
        <v>2079</v>
      </c>
      <c r="G8" s="91">
        <v>11.4</v>
      </c>
      <c r="H8" s="91">
        <v>11.1</v>
      </c>
      <c r="I8" s="90">
        <v>10.9</v>
      </c>
      <c r="J8" s="82" t="s">
        <v>15</v>
      </c>
      <c r="K8" s="92">
        <v>0.45</v>
      </c>
    </row>
    <row r="9" spans="1:11">
      <c r="A9" s="86" t="s">
        <v>1626</v>
      </c>
      <c r="C9" s="82" t="s">
        <v>1871</v>
      </c>
      <c r="D9" s="81" t="s">
        <v>2078</v>
      </c>
      <c r="F9" s="82" t="s">
        <v>2077</v>
      </c>
      <c r="G9" s="91">
        <v>11.4</v>
      </c>
      <c r="H9" s="91">
        <v>11.1</v>
      </c>
      <c r="I9" s="90">
        <v>10.9</v>
      </c>
      <c r="J9" s="82" t="s">
        <v>148</v>
      </c>
      <c r="K9" s="92">
        <v>0.55000000000000004</v>
      </c>
    </row>
    <row r="10" spans="1:11">
      <c r="A10" s="86" t="s">
        <v>1580</v>
      </c>
      <c r="C10" s="82" t="s">
        <v>1871</v>
      </c>
      <c r="D10" s="81" t="s">
        <v>2076</v>
      </c>
      <c r="F10" s="82" t="s">
        <v>2075</v>
      </c>
      <c r="G10" s="91">
        <v>11.4</v>
      </c>
      <c r="H10" s="91">
        <v>11.1</v>
      </c>
      <c r="I10" s="90">
        <v>10.9</v>
      </c>
      <c r="J10" s="82" t="s">
        <v>149</v>
      </c>
      <c r="K10" s="92">
        <v>0.45</v>
      </c>
    </row>
    <row r="11" spans="1:11">
      <c r="A11" s="86" t="s">
        <v>1554</v>
      </c>
      <c r="C11" s="82" t="s">
        <v>1871</v>
      </c>
      <c r="D11" s="81" t="s">
        <v>2074</v>
      </c>
      <c r="F11" s="82" t="s">
        <v>2073</v>
      </c>
      <c r="G11" s="91">
        <v>11.4</v>
      </c>
      <c r="H11" s="91">
        <v>11.1</v>
      </c>
      <c r="I11" s="90">
        <v>10.9</v>
      </c>
      <c r="J11" s="82" t="s">
        <v>16</v>
      </c>
      <c r="K11" s="92">
        <v>0.45</v>
      </c>
    </row>
    <row r="12" spans="1:11">
      <c r="A12" s="86" t="s">
        <v>1521</v>
      </c>
      <c r="C12" s="82" t="s">
        <v>1871</v>
      </c>
      <c r="D12" s="81" t="s">
        <v>2072</v>
      </c>
      <c r="F12" s="82" t="s">
        <v>2071</v>
      </c>
      <c r="G12" s="91">
        <v>11.4</v>
      </c>
      <c r="H12" s="91">
        <v>11.1</v>
      </c>
      <c r="I12" s="90">
        <v>10.9</v>
      </c>
      <c r="J12" s="82" t="s">
        <v>150</v>
      </c>
      <c r="K12" s="92">
        <v>0.55000000000000004</v>
      </c>
    </row>
    <row r="13" spans="1:11">
      <c r="A13" s="86" t="s">
        <v>1458</v>
      </c>
      <c r="C13" s="82" t="s">
        <v>1871</v>
      </c>
      <c r="D13" s="81" t="s">
        <v>2070</v>
      </c>
      <c r="F13" s="82" t="s">
        <v>2069</v>
      </c>
      <c r="G13" s="91">
        <v>11.4</v>
      </c>
      <c r="H13" s="91">
        <v>11.1</v>
      </c>
      <c r="I13" s="90">
        <v>10.9</v>
      </c>
      <c r="J13" s="82" t="s">
        <v>151</v>
      </c>
      <c r="K13" s="92">
        <v>0.55000000000000004</v>
      </c>
    </row>
    <row r="14" spans="1:11">
      <c r="A14" s="86" t="s">
        <v>1403</v>
      </c>
      <c r="C14" s="82" t="s">
        <v>1871</v>
      </c>
      <c r="D14" s="81" t="s">
        <v>2068</v>
      </c>
      <c r="F14" s="82" t="s">
        <v>2067</v>
      </c>
      <c r="G14" s="91">
        <v>11.4</v>
      </c>
      <c r="H14" s="91">
        <v>11.1</v>
      </c>
      <c r="I14" s="90">
        <v>10.9</v>
      </c>
      <c r="J14" s="82" t="s">
        <v>157</v>
      </c>
      <c r="K14" s="92">
        <v>0.55000000000000004</v>
      </c>
    </row>
    <row r="15" spans="1:11">
      <c r="A15" s="86" t="s">
        <v>1343</v>
      </c>
      <c r="C15" s="82" t="s">
        <v>1871</v>
      </c>
      <c r="D15" s="81" t="s">
        <v>2066</v>
      </c>
      <c r="F15" s="82" t="s">
        <v>2065</v>
      </c>
      <c r="G15" s="91">
        <v>11.4</v>
      </c>
      <c r="H15" s="91">
        <v>11.1</v>
      </c>
      <c r="I15" s="90">
        <v>10.9</v>
      </c>
      <c r="J15" s="82" t="s">
        <v>152</v>
      </c>
      <c r="K15" s="92">
        <v>0.45</v>
      </c>
    </row>
    <row r="16" spans="1:11">
      <c r="A16" s="86" t="s">
        <v>1309</v>
      </c>
      <c r="C16" s="82" t="s">
        <v>1871</v>
      </c>
      <c r="D16" s="81" t="s">
        <v>2064</v>
      </c>
      <c r="F16" s="82" t="s">
        <v>2063</v>
      </c>
      <c r="G16" s="91">
        <v>11.4</v>
      </c>
      <c r="H16" s="91">
        <v>11.1</v>
      </c>
      <c r="I16" s="90">
        <v>10.9</v>
      </c>
      <c r="J16" s="82" t="s">
        <v>158</v>
      </c>
      <c r="K16" s="92">
        <v>0.45</v>
      </c>
    </row>
    <row r="17" spans="1:11">
      <c r="A17" s="86" t="s">
        <v>1278</v>
      </c>
      <c r="C17" s="82" t="s">
        <v>1871</v>
      </c>
      <c r="D17" s="81" t="s">
        <v>2062</v>
      </c>
      <c r="F17" s="82" t="s">
        <v>2061</v>
      </c>
      <c r="G17" s="91">
        <v>11.4</v>
      </c>
      <c r="H17" s="91">
        <v>11.1</v>
      </c>
      <c r="I17" s="90">
        <v>10.9</v>
      </c>
      <c r="J17" s="82" t="s">
        <v>17</v>
      </c>
      <c r="K17" s="92">
        <v>0.45</v>
      </c>
    </row>
    <row r="18" spans="1:11">
      <c r="A18" s="86" t="s">
        <v>1262</v>
      </c>
      <c r="C18" s="82" t="s">
        <v>1871</v>
      </c>
      <c r="D18" s="81" t="s">
        <v>2060</v>
      </c>
      <c r="F18" s="82" t="s">
        <v>2059</v>
      </c>
      <c r="G18" s="91">
        <v>11.4</v>
      </c>
      <c r="H18" s="91">
        <v>11.1</v>
      </c>
      <c r="I18" s="90">
        <v>10.9</v>
      </c>
      <c r="J18" s="82" t="s">
        <v>153</v>
      </c>
      <c r="K18" s="92">
        <v>0.55000000000000004</v>
      </c>
    </row>
    <row r="19" spans="1:11">
      <c r="A19" s="86" t="s">
        <v>1243</v>
      </c>
      <c r="C19" s="82" t="s">
        <v>1871</v>
      </c>
      <c r="D19" s="81" t="s">
        <v>2058</v>
      </c>
      <c r="F19" s="82" t="s">
        <v>2057</v>
      </c>
      <c r="G19" s="91">
        <v>11.4</v>
      </c>
      <c r="H19" s="91">
        <v>11.1</v>
      </c>
      <c r="I19" s="90">
        <v>10.9</v>
      </c>
      <c r="J19" s="82" t="s">
        <v>159</v>
      </c>
      <c r="K19" s="92">
        <v>0.45</v>
      </c>
    </row>
    <row r="20" spans="1:11">
      <c r="A20" s="86" t="s">
        <v>1227</v>
      </c>
      <c r="C20" s="82" t="s">
        <v>1871</v>
      </c>
      <c r="D20" s="81" t="s">
        <v>2056</v>
      </c>
      <c r="F20" s="82" t="s">
        <v>2055</v>
      </c>
      <c r="G20" s="91">
        <v>11.4</v>
      </c>
      <c r="H20" s="91">
        <v>11.1</v>
      </c>
      <c r="I20" s="90">
        <v>10.9</v>
      </c>
      <c r="J20" s="82" t="s">
        <v>154</v>
      </c>
      <c r="K20" s="92">
        <v>0.45</v>
      </c>
    </row>
    <row r="21" spans="1:11">
      <c r="A21" s="86" t="s">
        <v>1200</v>
      </c>
      <c r="C21" s="82" t="s">
        <v>1871</v>
      </c>
      <c r="D21" s="81" t="s">
        <v>2054</v>
      </c>
      <c r="F21" s="82" t="s">
        <v>2053</v>
      </c>
      <c r="G21" s="91">
        <v>11.4</v>
      </c>
      <c r="H21" s="91">
        <v>11.1</v>
      </c>
      <c r="I21" s="90">
        <v>10.9</v>
      </c>
      <c r="J21" s="82" t="s">
        <v>160</v>
      </c>
      <c r="K21" s="92">
        <v>0.45</v>
      </c>
    </row>
    <row r="22" spans="1:11">
      <c r="A22" s="86" t="s">
        <v>1125</v>
      </c>
      <c r="C22" s="82" t="s">
        <v>1871</v>
      </c>
      <c r="D22" s="81" t="s">
        <v>2052</v>
      </c>
      <c r="F22" s="82" t="s">
        <v>2051</v>
      </c>
      <c r="G22" s="91">
        <v>11.4</v>
      </c>
      <c r="H22" s="91">
        <v>11.1</v>
      </c>
      <c r="I22" s="90">
        <v>10.9</v>
      </c>
      <c r="J22" s="82" t="s">
        <v>155</v>
      </c>
      <c r="K22" s="92">
        <v>0.45</v>
      </c>
    </row>
    <row r="23" spans="1:11">
      <c r="A23" s="86" t="s">
        <v>1082</v>
      </c>
      <c r="C23" s="82" t="s">
        <v>1871</v>
      </c>
      <c r="D23" s="81" t="s">
        <v>2050</v>
      </c>
      <c r="F23" s="82" t="s">
        <v>2049</v>
      </c>
      <c r="G23" s="91">
        <v>11.4</v>
      </c>
      <c r="H23" s="91">
        <v>11.1</v>
      </c>
      <c r="I23" s="90">
        <v>10.9</v>
      </c>
      <c r="J23" s="82" t="s">
        <v>161</v>
      </c>
      <c r="K23" s="92">
        <v>0.45</v>
      </c>
    </row>
    <row r="24" spans="1:11">
      <c r="A24" s="86" t="s">
        <v>1046</v>
      </c>
      <c r="C24" s="82" t="s">
        <v>1871</v>
      </c>
      <c r="D24" s="81" t="s">
        <v>2048</v>
      </c>
      <c r="F24" s="82" t="s">
        <v>2047</v>
      </c>
      <c r="G24" s="91">
        <v>11.4</v>
      </c>
      <c r="H24" s="91">
        <v>11.1</v>
      </c>
      <c r="I24" s="90">
        <v>10.9</v>
      </c>
      <c r="J24" s="82" t="s">
        <v>162</v>
      </c>
      <c r="K24" s="92">
        <v>0.45</v>
      </c>
    </row>
    <row r="25" spans="1:11">
      <c r="A25" s="86" t="s">
        <v>992</v>
      </c>
      <c r="C25" s="82" t="s">
        <v>1871</v>
      </c>
      <c r="D25" s="81" t="s">
        <v>2046</v>
      </c>
      <c r="F25" s="82" t="s">
        <v>2045</v>
      </c>
      <c r="G25" s="91">
        <v>11.4</v>
      </c>
      <c r="H25" s="91">
        <v>11.1</v>
      </c>
      <c r="I25" s="90">
        <v>10.9</v>
      </c>
      <c r="J25" s="82" t="s">
        <v>163</v>
      </c>
      <c r="K25" s="92">
        <v>0.7</v>
      </c>
    </row>
    <row r="26" spans="1:11" ht="14.25" thickBot="1">
      <c r="A26" s="86" t="s">
        <v>962</v>
      </c>
      <c r="C26" s="82" t="s">
        <v>1871</v>
      </c>
      <c r="D26" s="81" t="s">
        <v>2044</v>
      </c>
      <c r="F26" s="82" t="s">
        <v>1374</v>
      </c>
      <c r="G26" s="84">
        <v>11.12</v>
      </c>
      <c r="H26" s="84">
        <v>10.88</v>
      </c>
      <c r="I26" s="89">
        <v>10.72</v>
      </c>
      <c r="J26" s="80" t="s">
        <v>164</v>
      </c>
      <c r="K26" s="125">
        <v>0.45</v>
      </c>
    </row>
    <row r="27" spans="1:11">
      <c r="A27" s="86" t="s">
        <v>943</v>
      </c>
      <c r="C27" s="82" t="s">
        <v>1871</v>
      </c>
      <c r="D27" s="81" t="s">
        <v>2043</v>
      </c>
      <c r="F27" s="88" t="s">
        <v>2042</v>
      </c>
      <c r="G27" s="77">
        <v>11.12</v>
      </c>
      <c r="H27" s="77">
        <v>10.88</v>
      </c>
      <c r="I27" s="87">
        <v>10.72</v>
      </c>
    </row>
    <row r="28" spans="1:11">
      <c r="A28" s="86" t="s">
        <v>916</v>
      </c>
      <c r="C28" s="82" t="s">
        <v>1871</v>
      </c>
      <c r="D28" s="81" t="s">
        <v>2041</v>
      </c>
      <c r="F28" s="82" t="s">
        <v>2040</v>
      </c>
      <c r="G28" s="84">
        <v>11.12</v>
      </c>
      <c r="H28" s="84">
        <v>10.88</v>
      </c>
      <c r="I28" s="81">
        <v>10.72</v>
      </c>
    </row>
    <row r="29" spans="1:11">
      <c r="A29" s="86" t="s">
        <v>873</v>
      </c>
      <c r="C29" s="82" t="s">
        <v>1871</v>
      </c>
      <c r="D29" s="81" t="s">
        <v>2039</v>
      </c>
      <c r="F29" s="82" t="s">
        <v>2038</v>
      </c>
      <c r="G29" s="84">
        <v>11.12</v>
      </c>
      <c r="H29" s="84">
        <v>10.88</v>
      </c>
      <c r="I29" s="81">
        <v>10.72</v>
      </c>
    </row>
    <row r="30" spans="1:11">
      <c r="A30" s="86" t="s">
        <v>831</v>
      </c>
      <c r="C30" s="82" t="s">
        <v>1871</v>
      </c>
      <c r="D30" s="81" t="s">
        <v>2037</v>
      </c>
      <c r="F30" s="82" t="s">
        <v>2036</v>
      </c>
      <c r="G30" s="84">
        <v>11.12</v>
      </c>
      <c r="H30" s="84">
        <v>10.88</v>
      </c>
      <c r="I30" s="81">
        <v>10.72</v>
      </c>
    </row>
    <row r="31" spans="1:11">
      <c r="A31" s="86" t="s">
        <v>791</v>
      </c>
      <c r="C31" s="82" t="s">
        <v>1871</v>
      </c>
      <c r="D31" s="81" t="s">
        <v>2035</v>
      </c>
      <c r="F31" s="82" t="s">
        <v>2034</v>
      </c>
      <c r="G31" s="84">
        <v>11.12</v>
      </c>
      <c r="H31" s="84">
        <v>10.88</v>
      </c>
      <c r="I31" s="81">
        <v>10.72</v>
      </c>
    </row>
    <row r="32" spans="1:11">
      <c r="A32" s="86" t="s">
        <v>761</v>
      </c>
      <c r="C32" s="82" t="s">
        <v>1871</v>
      </c>
      <c r="D32" s="81" t="s">
        <v>2033</v>
      </c>
      <c r="F32" s="82" t="s">
        <v>2032</v>
      </c>
      <c r="G32" s="84">
        <v>11.12</v>
      </c>
      <c r="H32" s="84">
        <v>10.88</v>
      </c>
      <c r="I32" s="81">
        <v>10.72</v>
      </c>
    </row>
    <row r="33" spans="1:9">
      <c r="A33" s="86" t="s">
        <v>741</v>
      </c>
      <c r="C33" s="82" t="s">
        <v>1871</v>
      </c>
      <c r="D33" s="81" t="s">
        <v>2031</v>
      </c>
      <c r="F33" s="82" t="s">
        <v>1519</v>
      </c>
      <c r="G33" s="84">
        <v>11.05</v>
      </c>
      <c r="H33" s="84">
        <v>10.83</v>
      </c>
      <c r="I33" s="81">
        <v>10.68</v>
      </c>
    </row>
    <row r="34" spans="1:9">
      <c r="A34" s="86" t="s">
        <v>722</v>
      </c>
      <c r="C34" s="82" t="s">
        <v>1871</v>
      </c>
      <c r="D34" s="81" t="s">
        <v>1677</v>
      </c>
      <c r="F34" s="82" t="s">
        <v>1456</v>
      </c>
      <c r="G34" s="84">
        <v>11.05</v>
      </c>
      <c r="H34" s="84">
        <v>10.83</v>
      </c>
      <c r="I34" s="81">
        <v>10.68</v>
      </c>
    </row>
    <row r="35" spans="1:9">
      <c r="A35" s="86" t="s">
        <v>694</v>
      </c>
      <c r="C35" s="82" t="s">
        <v>1871</v>
      </c>
      <c r="D35" s="81" t="s">
        <v>2030</v>
      </c>
      <c r="F35" s="82" t="s">
        <v>1432</v>
      </c>
      <c r="G35" s="84">
        <v>11.05</v>
      </c>
      <c r="H35" s="84">
        <v>10.83</v>
      </c>
      <c r="I35" s="81">
        <v>10.68</v>
      </c>
    </row>
    <row r="36" spans="1:9">
      <c r="A36" s="86" t="s">
        <v>670</v>
      </c>
      <c r="C36" s="82" t="s">
        <v>1871</v>
      </c>
      <c r="D36" s="81" t="s">
        <v>2029</v>
      </c>
      <c r="F36" s="82" t="s">
        <v>1380</v>
      </c>
      <c r="G36" s="84">
        <v>11.05</v>
      </c>
      <c r="H36" s="84">
        <v>10.83</v>
      </c>
      <c r="I36" s="81">
        <v>10.68</v>
      </c>
    </row>
    <row r="37" spans="1:9">
      <c r="A37" s="86" t="s">
        <v>650</v>
      </c>
      <c r="C37" s="82" t="s">
        <v>1871</v>
      </c>
      <c r="D37" s="81" t="s">
        <v>2028</v>
      </c>
      <c r="F37" s="82" t="s">
        <v>1378</v>
      </c>
      <c r="G37" s="84">
        <v>11.05</v>
      </c>
      <c r="H37" s="84">
        <v>10.83</v>
      </c>
      <c r="I37" s="81">
        <v>10.68</v>
      </c>
    </row>
    <row r="38" spans="1:9">
      <c r="A38" s="86" t="s">
        <v>625</v>
      </c>
      <c r="C38" s="82" t="s">
        <v>1871</v>
      </c>
      <c r="D38" s="81" t="s">
        <v>2027</v>
      </c>
      <c r="F38" s="82" t="s">
        <v>1377</v>
      </c>
      <c r="G38" s="84">
        <v>11.05</v>
      </c>
      <c r="H38" s="84">
        <v>10.83</v>
      </c>
      <c r="I38" s="81">
        <v>10.68</v>
      </c>
    </row>
    <row r="39" spans="1:9">
      <c r="A39" s="86" t="s">
        <v>607</v>
      </c>
      <c r="C39" s="82" t="s">
        <v>1871</v>
      </c>
      <c r="D39" s="81" t="s">
        <v>2026</v>
      </c>
      <c r="F39" s="82" t="s">
        <v>1376</v>
      </c>
      <c r="G39" s="84">
        <v>11.05</v>
      </c>
      <c r="H39" s="84">
        <v>10.83</v>
      </c>
      <c r="I39" s="81">
        <v>10.68</v>
      </c>
    </row>
    <row r="40" spans="1:9">
      <c r="A40" s="86" t="s">
        <v>586</v>
      </c>
      <c r="C40" s="82" t="s">
        <v>1871</v>
      </c>
      <c r="D40" s="81" t="s">
        <v>592</v>
      </c>
      <c r="F40" s="82" t="s">
        <v>686</v>
      </c>
      <c r="G40" s="84">
        <v>11.05</v>
      </c>
      <c r="H40" s="84">
        <v>10.83</v>
      </c>
      <c r="I40" s="81">
        <v>10.68</v>
      </c>
    </row>
    <row r="41" spans="1:9">
      <c r="A41" s="86" t="s">
        <v>551</v>
      </c>
      <c r="C41" s="82" t="s">
        <v>1871</v>
      </c>
      <c r="D41" s="81" t="s">
        <v>2025</v>
      </c>
      <c r="F41" s="82" t="s">
        <v>1372</v>
      </c>
      <c r="G41" s="84">
        <v>11.05</v>
      </c>
      <c r="H41" s="84">
        <v>10.83</v>
      </c>
      <c r="I41" s="81">
        <v>10.68</v>
      </c>
    </row>
    <row r="42" spans="1:9">
      <c r="A42" s="86" t="s">
        <v>489</v>
      </c>
      <c r="C42" s="82" t="s">
        <v>1871</v>
      </c>
      <c r="D42" s="81" t="s">
        <v>2024</v>
      </c>
      <c r="F42" s="82" t="s">
        <v>1371</v>
      </c>
      <c r="G42" s="84">
        <v>11.05</v>
      </c>
      <c r="H42" s="84">
        <v>10.83</v>
      </c>
      <c r="I42" s="81">
        <v>10.68</v>
      </c>
    </row>
    <row r="43" spans="1:9">
      <c r="A43" s="86" t="s">
        <v>468</v>
      </c>
      <c r="C43" s="82" t="s">
        <v>1871</v>
      </c>
      <c r="D43" s="81" t="s">
        <v>2023</v>
      </c>
      <c r="F43" s="82" t="s">
        <v>1370</v>
      </c>
      <c r="G43" s="84">
        <v>11.05</v>
      </c>
      <c r="H43" s="84">
        <v>10.83</v>
      </c>
      <c r="I43" s="81">
        <v>10.68</v>
      </c>
    </row>
    <row r="44" spans="1:9">
      <c r="A44" s="86" t="s">
        <v>446</v>
      </c>
      <c r="C44" s="82" t="s">
        <v>1871</v>
      </c>
      <c r="D44" s="81" t="s">
        <v>2022</v>
      </c>
      <c r="F44" s="82" t="s">
        <v>2021</v>
      </c>
      <c r="G44" s="84">
        <v>11.05</v>
      </c>
      <c r="H44" s="84">
        <v>10.83</v>
      </c>
      <c r="I44" s="81">
        <v>10.68</v>
      </c>
    </row>
    <row r="45" spans="1:9">
      <c r="A45" s="86" t="s">
        <v>400</v>
      </c>
      <c r="C45" s="82" t="s">
        <v>1871</v>
      </c>
      <c r="D45" s="81" t="s">
        <v>2020</v>
      </c>
      <c r="F45" s="82" t="s">
        <v>1368</v>
      </c>
      <c r="G45" s="84">
        <v>11.05</v>
      </c>
      <c r="H45" s="84">
        <v>10.83</v>
      </c>
      <c r="I45" s="81">
        <v>10.68</v>
      </c>
    </row>
    <row r="46" spans="1:9">
      <c r="A46" s="86" t="s">
        <v>381</v>
      </c>
      <c r="C46" s="82" t="s">
        <v>1871</v>
      </c>
      <c r="D46" s="81" t="s">
        <v>1045</v>
      </c>
      <c r="F46" s="82" t="s">
        <v>1367</v>
      </c>
      <c r="G46" s="84">
        <v>11.05</v>
      </c>
      <c r="H46" s="84">
        <v>10.83</v>
      </c>
      <c r="I46" s="81">
        <v>10.68</v>
      </c>
    </row>
    <row r="47" spans="1:9">
      <c r="A47" s="86" t="s">
        <v>354</v>
      </c>
      <c r="C47" s="82" t="s">
        <v>1871</v>
      </c>
      <c r="D47" s="81" t="s">
        <v>2019</v>
      </c>
      <c r="F47" s="82" t="s">
        <v>2018</v>
      </c>
      <c r="G47" s="84">
        <v>11.05</v>
      </c>
      <c r="H47" s="84">
        <v>10.83</v>
      </c>
      <c r="I47" s="81">
        <v>10.68</v>
      </c>
    </row>
    <row r="48" spans="1:9">
      <c r="A48" s="86" t="s">
        <v>310</v>
      </c>
      <c r="C48" s="82" t="s">
        <v>1871</v>
      </c>
      <c r="D48" s="81" t="s">
        <v>2017</v>
      </c>
      <c r="F48" s="82" t="s">
        <v>1362</v>
      </c>
      <c r="G48" s="84">
        <v>11.05</v>
      </c>
      <c r="H48" s="84">
        <v>10.83</v>
      </c>
      <c r="I48" s="81">
        <v>10.68</v>
      </c>
    </row>
    <row r="49" spans="1:9" ht="14.25" thickBot="1">
      <c r="A49" s="85" t="s">
        <v>268</v>
      </c>
      <c r="C49" s="82" t="s">
        <v>1871</v>
      </c>
      <c r="D49" s="81" t="s">
        <v>2016</v>
      </c>
      <c r="F49" s="82" t="s">
        <v>1359</v>
      </c>
      <c r="G49" s="84">
        <v>11.05</v>
      </c>
      <c r="H49" s="84">
        <v>10.83</v>
      </c>
      <c r="I49" s="81">
        <v>10.68</v>
      </c>
    </row>
    <row r="50" spans="1:9">
      <c r="C50" s="82" t="s">
        <v>1871</v>
      </c>
      <c r="D50" s="81" t="s">
        <v>2015</v>
      </c>
      <c r="F50" s="82" t="s">
        <v>1356</v>
      </c>
      <c r="G50" s="84">
        <v>11.05</v>
      </c>
      <c r="H50" s="84">
        <v>10.83</v>
      </c>
      <c r="I50" s="81">
        <v>10.68</v>
      </c>
    </row>
    <row r="51" spans="1:9">
      <c r="C51" s="82" t="s">
        <v>1871</v>
      </c>
      <c r="D51" s="81" t="s">
        <v>2014</v>
      </c>
      <c r="F51" s="82" t="s">
        <v>1336</v>
      </c>
      <c r="G51" s="84">
        <v>11.05</v>
      </c>
      <c r="H51" s="84">
        <v>10.83</v>
      </c>
      <c r="I51" s="81">
        <v>10.68</v>
      </c>
    </row>
    <row r="52" spans="1:9">
      <c r="C52" s="82" t="s">
        <v>1871</v>
      </c>
      <c r="D52" s="81" t="s">
        <v>2013</v>
      </c>
      <c r="F52" s="82" t="s">
        <v>1329</v>
      </c>
      <c r="G52" s="84">
        <v>11.05</v>
      </c>
      <c r="H52" s="84">
        <v>10.83</v>
      </c>
      <c r="I52" s="81">
        <v>10.68</v>
      </c>
    </row>
    <row r="53" spans="1:9">
      <c r="C53" s="82" t="s">
        <v>1871</v>
      </c>
      <c r="D53" s="81" t="s">
        <v>2012</v>
      </c>
      <c r="F53" s="82" t="s">
        <v>1044</v>
      </c>
      <c r="G53" s="84">
        <v>11.05</v>
      </c>
      <c r="H53" s="84">
        <v>10.83</v>
      </c>
      <c r="I53" s="81">
        <v>10.68</v>
      </c>
    </row>
    <row r="54" spans="1:9">
      <c r="C54" s="82" t="s">
        <v>1871</v>
      </c>
      <c r="D54" s="81" t="s">
        <v>2011</v>
      </c>
      <c r="F54" s="82" t="s">
        <v>1034</v>
      </c>
      <c r="G54" s="84">
        <v>11.05</v>
      </c>
      <c r="H54" s="84">
        <v>10.83</v>
      </c>
      <c r="I54" s="81">
        <v>10.68</v>
      </c>
    </row>
    <row r="55" spans="1:9">
      <c r="C55" s="82" t="s">
        <v>1871</v>
      </c>
      <c r="D55" s="81" t="s">
        <v>2010</v>
      </c>
      <c r="F55" s="82" t="s">
        <v>1033</v>
      </c>
      <c r="G55" s="84">
        <v>11.05</v>
      </c>
      <c r="H55" s="84">
        <v>10.83</v>
      </c>
      <c r="I55" s="81">
        <v>10.68</v>
      </c>
    </row>
    <row r="56" spans="1:9">
      <c r="C56" s="82" t="s">
        <v>1871</v>
      </c>
      <c r="D56" s="81" t="s">
        <v>2009</v>
      </c>
      <c r="F56" s="82" t="s">
        <v>905</v>
      </c>
      <c r="G56" s="84">
        <v>11.05</v>
      </c>
      <c r="H56" s="84">
        <v>10.83</v>
      </c>
      <c r="I56" s="81">
        <v>10.68</v>
      </c>
    </row>
    <row r="57" spans="1:9">
      <c r="C57" s="82" t="s">
        <v>1871</v>
      </c>
      <c r="D57" s="81" t="s">
        <v>2008</v>
      </c>
      <c r="F57" s="82" t="s">
        <v>896</v>
      </c>
      <c r="G57" s="84">
        <v>11.05</v>
      </c>
      <c r="H57" s="84">
        <v>10.83</v>
      </c>
      <c r="I57" s="81">
        <v>10.68</v>
      </c>
    </row>
    <row r="58" spans="1:9">
      <c r="C58" s="82" t="s">
        <v>1871</v>
      </c>
      <c r="D58" s="81" t="s">
        <v>2007</v>
      </c>
      <c r="F58" s="82" t="s">
        <v>891</v>
      </c>
      <c r="G58" s="84">
        <v>11.05</v>
      </c>
      <c r="H58" s="84">
        <v>10.83</v>
      </c>
      <c r="I58" s="81">
        <v>10.68</v>
      </c>
    </row>
    <row r="59" spans="1:9">
      <c r="C59" s="82" t="s">
        <v>1871</v>
      </c>
      <c r="D59" s="81" t="s">
        <v>2006</v>
      </c>
      <c r="F59" s="82" t="s">
        <v>867</v>
      </c>
      <c r="G59" s="84">
        <v>11.05</v>
      </c>
      <c r="H59" s="84">
        <v>10.83</v>
      </c>
      <c r="I59" s="81">
        <v>10.68</v>
      </c>
    </row>
    <row r="60" spans="1:9">
      <c r="C60" s="82" t="s">
        <v>1871</v>
      </c>
      <c r="D60" s="81" t="s">
        <v>2005</v>
      </c>
      <c r="F60" s="82" t="s">
        <v>865</v>
      </c>
      <c r="G60" s="84">
        <v>11.05</v>
      </c>
      <c r="H60" s="84">
        <v>10.83</v>
      </c>
      <c r="I60" s="81">
        <v>10.68</v>
      </c>
    </row>
    <row r="61" spans="1:9">
      <c r="C61" s="82" t="s">
        <v>1871</v>
      </c>
      <c r="D61" s="81" t="s">
        <v>2004</v>
      </c>
      <c r="F61" s="82" t="s">
        <v>858</v>
      </c>
      <c r="G61" s="84">
        <v>11.05</v>
      </c>
      <c r="H61" s="84">
        <v>10.83</v>
      </c>
      <c r="I61" s="81">
        <v>10.68</v>
      </c>
    </row>
    <row r="62" spans="1:9">
      <c r="C62" s="82" t="s">
        <v>1871</v>
      </c>
      <c r="D62" s="81" t="s">
        <v>2003</v>
      </c>
      <c r="F62" s="82" t="s">
        <v>1610</v>
      </c>
      <c r="G62" s="84">
        <v>10.84</v>
      </c>
      <c r="H62" s="84">
        <v>10.66</v>
      </c>
      <c r="I62" s="81">
        <v>10.54</v>
      </c>
    </row>
    <row r="63" spans="1:9">
      <c r="C63" s="82" t="s">
        <v>1871</v>
      </c>
      <c r="D63" s="81" t="s">
        <v>2002</v>
      </c>
      <c r="F63" s="82" t="s">
        <v>1497</v>
      </c>
      <c r="G63" s="84">
        <v>10.84</v>
      </c>
      <c r="H63" s="84">
        <v>10.66</v>
      </c>
      <c r="I63" s="81">
        <v>10.54</v>
      </c>
    </row>
    <row r="64" spans="1:9">
      <c r="C64" s="82" t="s">
        <v>1871</v>
      </c>
      <c r="D64" s="81" t="s">
        <v>2001</v>
      </c>
      <c r="F64" s="82" t="s">
        <v>2000</v>
      </c>
      <c r="G64" s="84">
        <v>10.84</v>
      </c>
      <c r="H64" s="84">
        <v>10.66</v>
      </c>
      <c r="I64" s="81">
        <v>10.54</v>
      </c>
    </row>
    <row r="65" spans="3:9">
      <c r="C65" s="82" t="s">
        <v>1871</v>
      </c>
      <c r="D65" s="81" t="s">
        <v>1999</v>
      </c>
      <c r="F65" s="82" t="s">
        <v>1998</v>
      </c>
      <c r="G65" s="84">
        <v>10.84</v>
      </c>
      <c r="H65" s="84">
        <v>10.66</v>
      </c>
      <c r="I65" s="81">
        <v>10.54</v>
      </c>
    </row>
    <row r="66" spans="3:9">
      <c r="C66" s="82" t="s">
        <v>1871</v>
      </c>
      <c r="D66" s="81" t="s">
        <v>1997</v>
      </c>
      <c r="F66" s="82" t="s">
        <v>1453</v>
      </c>
      <c r="G66" s="84">
        <v>10.84</v>
      </c>
      <c r="H66" s="84">
        <v>10.66</v>
      </c>
      <c r="I66" s="81">
        <v>10.54</v>
      </c>
    </row>
    <row r="67" spans="3:9">
      <c r="C67" s="82" t="s">
        <v>1871</v>
      </c>
      <c r="D67" s="81" t="s">
        <v>1996</v>
      </c>
      <c r="F67" s="82" t="s">
        <v>1447</v>
      </c>
      <c r="G67" s="84">
        <v>10.84</v>
      </c>
      <c r="H67" s="84">
        <v>10.66</v>
      </c>
      <c r="I67" s="81">
        <v>10.54</v>
      </c>
    </row>
    <row r="68" spans="3:9">
      <c r="C68" s="82" t="s">
        <v>1871</v>
      </c>
      <c r="D68" s="81" t="s">
        <v>1995</v>
      </c>
      <c r="F68" s="82" t="s">
        <v>1443</v>
      </c>
      <c r="G68" s="84">
        <v>10.84</v>
      </c>
      <c r="H68" s="84">
        <v>10.66</v>
      </c>
      <c r="I68" s="81">
        <v>10.54</v>
      </c>
    </row>
    <row r="69" spans="3:9">
      <c r="C69" s="82" t="s">
        <v>1871</v>
      </c>
      <c r="D69" s="81" t="s">
        <v>1994</v>
      </c>
      <c r="F69" s="82" t="s">
        <v>1379</v>
      </c>
      <c r="G69" s="84">
        <v>10.84</v>
      </c>
      <c r="H69" s="84">
        <v>10.66</v>
      </c>
      <c r="I69" s="81">
        <v>10.54</v>
      </c>
    </row>
    <row r="70" spans="3:9">
      <c r="C70" s="82" t="s">
        <v>1871</v>
      </c>
      <c r="D70" s="81" t="s">
        <v>1993</v>
      </c>
      <c r="F70" s="82" t="s">
        <v>1375</v>
      </c>
      <c r="G70" s="84">
        <v>10.84</v>
      </c>
      <c r="H70" s="84">
        <v>10.66</v>
      </c>
      <c r="I70" s="81">
        <v>10.54</v>
      </c>
    </row>
    <row r="71" spans="3:9">
      <c r="C71" s="82" t="s">
        <v>1871</v>
      </c>
      <c r="D71" s="81" t="s">
        <v>1992</v>
      </c>
      <c r="F71" s="82" t="s">
        <v>1364</v>
      </c>
      <c r="G71" s="84">
        <v>10.84</v>
      </c>
      <c r="H71" s="84">
        <v>10.66</v>
      </c>
      <c r="I71" s="81">
        <v>10.54</v>
      </c>
    </row>
    <row r="72" spans="3:9">
      <c r="C72" s="82" t="s">
        <v>1871</v>
      </c>
      <c r="D72" s="81" t="s">
        <v>1991</v>
      </c>
      <c r="F72" s="82" t="s">
        <v>1339</v>
      </c>
      <c r="G72" s="84">
        <v>10.84</v>
      </c>
      <c r="H72" s="84">
        <v>10.66</v>
      </c>
      <c r="I72" s="81">
        <v>10.54</v>
      </c>
    </row>
    <row r="73" spans="3:9">
      <c r="C73" s="82" t="s">
        <v>1871</v>
      </c>
      <c r="D73" s="81" t="s">
        <v>1990</v>
      </c>
      <c r="F73" s="82" t="s">
        <v>1338</v>
      </c>
      <c r="G73" s="84">
        <v>10.84</v>
      </c>
      <c r="H73" s="84">
        <v>10.66</v>
      </c>
      <c r="I73" s="81">
        <v>10.54</v>
      </c>
    </row>
    <row r="74" spans="3:9">
      <c r="C74" s="82" t="s">
        <v>1871</v>
      </c>
      <c r="D74" s="81" t="s">
        <v>1989</v>
      </c>
      <c r="F74" s="82" t="s">
        <v>1335</v>
      </c>
      <c r="G74" s="84">
        <v>10.84</v>
      </c>
      <c r="H74" s="84">
        <v>10.66</v>
      </c>
      <c r="I74" s="81">
        <v>10.54</v>
      </c>
    </row>
    <row r="75" spans="3:9">
      <c r="C75" s="82" t="s">
        <v>1871</v>
      </c>
      <c r="D75" s="81" t="s">
        <v>1988</v>
      </c>
      <c r="F75" s="82" t="s">
        <v>1332</v>
      </c>
      <c r="G75" s="84">
        <v>10.84</v>
      </c>
      <c r="H75" s="84">
        <v>10.66</v>
      </c>
      <c r="I75" s="81">
        <v>10.54</v>
      </c>
    </row>
    <row r="76" spans="3:9">
      <c r="C76" s="82" t="s">
        <v>1871</v>
      </c>
      <c r="D76" s="81" t="s">
        <v>1987</v>
      </c>
      <c r="F76" s="82" t="s">
        <v>1331</v>
      </c>
      <c r="G76" s="84">
        <v>10.84</v>
      </c>
      <c r="H76" s="84">
        <v>10.66</v>
      </c>
      <c r="I76" s="81">
        <v>10.54</v>
      </c>
    </row>
    <row r="77" spans="3:9">
      <c r="C77" s="82" t="s">
        <v>1871</v>
      </c>
      <c r="D77" s="81" t="s">
        <v>1986</v>
      </c>
      <c r="F77" s="82" t="s">
        <v>1985</v>
      </c>
      <c r="G77" s="84">
        <v>10.84</v>
      </c>
      <c r="H77" s="84">
        <v>10.66</v>
      </c>
      <c r="I77" s="81">
        <v>10.54</v>
      </c>
    </row>
    <row r="78" spans="3:9">
      <c r="C78" s="82" t="s">
        <v>1871</v>
      </c>
      <c r="D78" s="81" t="s">
        <v>1984</v>
      </c>
      <c r="F78" s="82" t="s">
        <v>911</v>
      </c>
      <c r="G78" s="84">
        <v>10.84</v>
      </c>
      <c r="H78" s="84">
        <v>10.66</v>
      </c>
      <c r="I78" s="81">
        <v>10.54</v>
      </c>
    </row>
    <row r="79" spans="3:9">
      <c r="C79" s="82" t="s">
        <v>1871</v>
      </c>
      <c r="D79" s="81" t="s">
        <v>1983</v>
      </c>
      <c r="F79" s="82" t="s">
        <v>910</v>
      </c>
      <c r="G79" s="84">
        <v>10.84</v>
      </c>
      <c r="H79" s="84">
        <v>10.66</v>
      </c>
      <c r="I79" s="81">
        <v>10.54</v>
      </c>
    </row>
    <row r="80" spans="3:9">
      <c r="C80" s="82" t="s">
        <v>1871</v>
      </c>
      <c r="D80" s="81" t="s">
        <v>1982</v>
      </c>
      <c r="F80" s="82" t="s">
        <v>909</v>
      </c>
      <c r="G80" s="84">
        <v>10.84</v>
      </c>
      <c r="H80" s="84">
        <v>10.66</v>
      </c>
      <c r="I80" s="81">
        <v>10.54</v>
      </c>
    </row>
    <row r="81" spans="3:9">
      <c r="C81" s="82" t="s">
        <v>1871</v>
      </c>
      <c r="D81" s="81" t="s">
        <v>1981</v>
      </c>
      <c r="F81" s="82" t="s">
        <v>907</v>
      </c>
      <c r="G81" s="84">
        <v>10.84</v>
      </c>
      <c r="H81" s="84">
        <v>10.66</v>
      </c>
      <c r="I81" s="81">
        <v>10.54</v>
      </c>
    </row>
    <row r="82" spans="3:9">
      <c r="C82" s="82" t="s">
        <v>1871</v>
      </c>
      <c r="D82" s="81" t="s">
        <v>1980</v>
      </c>
      <c r="F82" s="82" t="s">
        <v>899</v>
      </c>
      <c r="G82" s="84">
        <v>10.84</v>
      </c>
      <c r="H82" s="84">
        <v>10.66</v>
      </c>
      <c r="I82" s="81">
        <v>10.54</v>
      </c>
    </row>
    <row r="83" spans="3:9">
      <c r="C83" s="82" t="s">
        <v>1871</v>
      </c>
      <c r="D83" s="81" t="s">
        <v>1979</v>
      </c>
      <c r="F83" s="82" t="s">
        <v>894</v>
      </c>
      <c r="G83" s="84">
        <v>10.84</v>
      </c>
      <c r="H83" s="84">
        <v>10.66</v>
      </c>
      <c r="I83" s="81">
        <v>10.54</v>
      </c>
    </row>
    <row r="84" spans="3:9">
      <c r="C84" s="82" t="s">
        <v>1871</v>
      </c>
      <c r="D84" s="81" t="s">
        <v>1978</v>
      </c>
      <c r="F84" s="82" t="s">
        <v>885</v>
      </c>
      <c r="G84" s="84">
        <v>10.84</v>
      </c>
      <c r="H84" s="84">
        <v>10.66</v>
      </c>
      <c r="I84" s="81">
        <v>10.54</v>
      </c>
    </row>
    <row r="85" spans="3:9">
      <c r="C85" s="82" t="s">
        <v>1871</v>
      </c>
      <c r="D85" s="81" t="s">
        <v>1977</v>
      </c>
      <c r="F85" s="82" t="s">
        <v>871</v>
      </c>
      <c r="G85" s="84">
        <v>10.84</v>
      </c>
      <c r="H85" s="84">
        <v>10.66</v>
      </c>
      <c r="I85" s="81">
        <v>10.54</v>
      </c>
    </row>
    <row r="86" spans="3:9">
      <c r="C86" s="82" t="s">
        <v>1871</v>
      </c>
      <c r="D86" s="81" t="s">
        <v>1976</v>
      </c>
      <c r="F86" s="82" t="s">
        <v>1624</v>
      </c>
      <c r="G86" s="84">
        <v>10.7</v>
      </c>
      <c r="H86" s="84">
        <v>10.55</v>
      </c>
      <c r="I86" s="81">
        <v>10.45</v>
      </c>
    </row>
    <row r="87" spans="3:9">
      <c r="C87" s="82" t="s">
        <v>1871</v>
      </c>
      <c r="D87" s="81" t="s">
        <v>1975</v>
      </c>
      <c r="F87" s="82" t="s">
        <v>1623</v>
      </c>
      <c r="G87" s="84">
        <v>10.7</v>
      </c>
      <c r="H87" s="84">
        <v>10.55</v>
      </c>
      <c r="I87" s="81">
        <v>10.45</v>
      </c>
    </row>
    <row r="88" spans="3:9">
      <c r="C88" s="82" t="s">
        <v>1871</v>
      </c>
      <c r="D88" s="81" t="s">
        <v>1974</v>
      </c>
      <c r="F88" s="82" t="s">
        <v>1618</v>
      </c>
      <c r="G88" s="84">
        <v>10.7</v>
      </c>
      <c r="H88" s="84">
        <v>10.55</v>
      </c>
      <c r="I88" s="81">
        <v>10.45</v>
      </c>
    </row>
    <row r="89" spans="3:9">
      <c r="C89" s="82" t="s">
        <v>1871</v>
      </c>
      <c r="D89" s="81" t="s">
        <v>1973</v>
      </c>
      <c r="F89" s="82" t="s">
        <v>1611</v>
      </c>
      <c r="G89" s="84">
        <v>10.7</v>
      </c>
      <c r="H89" s="84">
        <v>10.55</v>
      </c>
      <c r="I89" s="81">
        <v>10.45</v>
      </c>
    </row>
    <row r="90" spans="3:9">
      <c r="C90" s="82" t="s">
        <v>1871</v>
      </c>
      <c r="D90" s="81" t="s">
        <v>1972</v>
      </c>
      <c r="F90" s="82" t="s">
        <v>1609</v>
      </c>
      <c r="G90" s="84">
        <v>10.7</v>
      </c>
      <c r="H90" s="84">
        <v>10.55</v>
      </c>
      <c r="I90" s="81">
        <v>10.45</v>
      </c>
    </row>
    <row r="91" spans="3:9">
      <c r="C91" s="82" t="s">
        <v>1871</v>
      </c>
      <c r="D91" s="81" t="s">
        <v>1971</v>
      </c>
      <c r="F91" s="82" t="s">
        <v>1605</v>
      </c>
      <c r="G91" s="84">
        <v>10.7</v>
      </c>
      <c r="H91" s="84">
        <v>10.55</v>
      </c>
      <c r="I91" s="81">
        <v>10.45</v>
      </c>
    </row>
    <row r="92" spans="3:9">
      <c r="C92" s="82" t="s">
        <v>1871</v>
      </c>
      <c r="D92" s="81" t="s">
        <v>1970</v>
      </c>
      <c r="F92" s="82" t="s">
        <v>1516</v>
      </c>
      <c r="G92" s="84">
        <v>10.7</v>
      </c>
      <c r="H92" s="84">
        <v>10.55</v>
      </c>
      <c r="I92" s="81">
        <v>10.45</v>
      </c>
    </row>
    <row r="93" spans="3:9">
      <c r="C93" s="82" t="s">
        <v>1871</v>
      </c>
      <c r="D93" s="81" t="s">
        <v>1969</v>
      </c>
      <c r="F93" s="82" t="s">
        <v>1502</v>
      </c>
      <c r="G93" s="84">
        <v>10.7</v>
      </c>
      <c r="H93" s="84">
        <v>10.55</v>
      </c>
      <c r="I93" s="81">
        <v>10.45</v>
      </c>
    </row>
    <row r="94" spans="3:9">
      <c r="C94" s="82" t="s">
        <v>1871</v>
      </c>
      <c r="D94" s="81" t="s">
        <v>1968</v>
      </c>
      <c r="F94" s="82" t="s">
        <v>1499</v>
      </c>
      <c r="G94" s="84">
        <v>10.7</v>
      </c>
      <c r="H94" s="84">
        <v>10.55</v>
      </c>
      <c r="I94" s="81">
        <v>10.45</v>
      </c>
    </row>
    <row r="95" spans="3:9">
      <c r="C95" s="82" t="s">
        <v>1871</v>
      </c>
      <c r="D95" s="81" t="s">
        <v>1967</v>
      </c>
      <c r="F95" s="82" t="s">
        <v>1494</v>
      </c>
      <c r="G95" s="84">
        <v>10.7</v>
      </c>
      <c r="H95" s="84">
        <v>10.55</v>
      </c>
      <c r="I95" s="81">
        <v>10.45</v>
      </c>
    </row>
    <row r="96" spans="3:9">
      <c r="C96" s="82" t="s">
        <v>1871</v>
      </c>
      <c r="D96" s="81" t="s">
        <v>1966</v>
      </c>
      <c r="F96" s="82" t="s">
        <v>1490</v>
      </c>
      <c r="G96" s="84">
        <v>10.7</v>
      </c>
      <c r="H96" s="84">
        <v>10.55</v>
      </c>
      <c r="I96" s="81">
        <v>10.45</v>
      </c>
    </row>
    <row r="97" spans="3:9">
      <c r="C97" s="82" t="s">
        <v>1871</v>
      </c>
      <c r="D97" s="81" t="s">
        <v>1965</v>
      </c>
      <c r="F97" s="82" t="s">
        <v>1481</v>
      </c>
      <c r="G97" s="84">
        <v>10.7</v>
      </c>
      <c r="H97" s="84">
        <v>10.55</v>
      </c>
      <c r="I97" s="81">
        <v>10.45</v>
      </c>
    </row>
    <row r="98" spans="3:9">
      <c r="C98" s="82" t="s">
        <v>1871</v>
      </c>
      <c r="D98" s="81" t="s">
        <v>1964</v>
      </c>
      <c r="F98" s="82" t="s">
        <v>1454</v>
      </c>
      <c r="G98" s="84">
        <v>10.7</v>
      </c>
      <c r="H98" s="84">
        <v>10.55</v>
      </c>
      <c r="I98" s="81">
        <v>10.45</v>
      </c>
    </row>
    <row r="99" spans="3:9">
      <c r="C99" s="82" t="s">
        <v>1871</v>
      </c>
      <c r="D99" s="81" t="s">
        <v>1963</v>
      </c>
      <c r="F99" s="82" t="s">
        <v>1450</v>
      </c>
      <c r="G99" s="84">
        <v>10.7</v>
      </c>
      <c r="H99" s="84">
        <v>10.55</v>
      </c>
      <c r="I99" s="81">
        <v>10.45</v>
      </c>
    </row>
    <row r="100" spans="3:9">
      <c r="C100" s="82" t="s">
        <v>1871</v>
      </c>
      <c r="D100" s="81" t="s">
        <v>1962</v>
      </c>
      <c r="F100" s="82" t="s">
        <v>1446</v>
      </c>
      <c r="G100" s="84">
        <v>10.7</v>
      </c>
      <c r="H100" s="84">
        <v>10.55</v>
      </c>
      <c r="I100" s="81">
        <v>10.45</v>
      </c>
    </row>
    <row r="101" spans="3:9">
      <c r="C101" s="82" t="s">
        <v>1871</v>
      </c>
      <c r="D101" s="81" t="s">
        <v>1961</v>
      </c>
      <c r="F101" s="82" t="s">
        <v>1440</v>
      </c>
      <c r="G101" s="84">
        <v>10.7</v>
      </c>
      <c r="H101" s="84">
        <v>10.55</v>
      </c>
      <c r="I101" s="81">
        <v>10.45</v>
      </c>
    </row>
    <row r="102" spans="3:9">
      <c r="C102" s="82" t="s">
        <v>1871</v>
      </c>
      <c r="D102" s="81" t="s">
        <v>1960</v>
      </c>
      <c r="F102" s="82" t="s">
        <v>1438</v>
      </c>
      <c r="G102" s="84">
        <v>10.7</v>
      </c>
      <c r="H102" s="84">
        <v>10.55</v>
      </c>
      <c r="I102" s="81">
        <v>10.45</v>
      </c>
    </row>
    <row r="103" spans="3:9">
      <c r="C103" s="82" t="s">
        <v>1871</v>
      </c>
      <c r="D103" s="81" t="s">
        <v>1959</v>
      </c>
      <c r="F103" s="82" t="s">
        <v>1431</v>
      </c>
      <c r="G103" s="84">
        <v>10.7</v>
      </c>
      <c r="H103" s="84">
        <v>10.55</v>
      </c>
      <c r="I103" s="81">
        <v>10.45</v>
      </c>
    </row>
    <row r="104" spans="3:9">
      <c r="C104" s="82" t="s">
        <v>1871</v>
      </c>
      <c r="D104" s="81" t="s">
        <v>1958</v>
      </c>
      <c r="F104" s="82" t="s">
        <v>1430</v>
      </c>
      <c r="G104" s="84">
        <v>10.7</v>
      </c>
      <c r="H104" s="84">
        <v>10.55</v>
      </c>
      <c r="I104" s="81">
        <v>10.45</v>
      </c>
    </row>
    <row r="105" spans="3:9">
      <c r="C105" s="82" t="s">
        <v>1871</v>
      </c>
      <c r="D105" s="81" t="s">
        <v>1957</v>
      </c>
      <c r="F105" s="82" t="s">
        <v>1428</v>
      </c>
      <c r="G105" s="84">
        <v>10.7</v>
      </c>
      <c r="H105" s="84">
        <v>10.55</v>
      </c>
      <c r="I105" s="81">
        <v>10.45</v>
      </c>
    </row>
    <row r="106" spans="3:9">
      <c r="C106" s="82" t="s">
        <v>1871</v>
      </c>
      <c r="D106" s="81" t="s">
        <v>1956</v>
      </c>
      <c r="F106" s="82" t="s">
        <v>1418</v>
      </c>
      <c r="G106" s="84">
        <v>10.7</v>
      </c>
      <c r="H106" s="84">
        <v>10.55</v>
      </c>
      <c r="I106" s="81">
        <v>10.45</v>
      </c>
    </row>
    <row r="107" spans="3:9">
      <c r="C107" s="82" t="s">
        <v>1871</v>
      </c>
      <c r="D107" s="81" t="s">
        <v>1955</v>
      </c>
      <c r="F107" s="82" t="s">
        <v>1954</v>
      </c>
      <c r="G107" s="84">
        <v>10.7</v>
      </c>
      <c r="H107" s="84">
        <v>10.55</v>
      </c>
      <c r="I107" s="81">
        <v>10.45</v>
      </c>
    </row>
    <row r="108" spans="3:9">
      <c r="C108" s="82" t="s">
        <v>1871</v>
      </c>
      <c r="D108" s="81" t="s">
        <v>1953</v>
      </c>
      <c r="F108" s="82" t="s">
        <v>1357</v>
      </c>
      <c r="G108" s="84">
        <v>10.7</v>
      </c>
      <c r="H108" s="84">
        <v>10.55</v>
      </c>
      <c r="I108" s="81">
        <v>10.45</v>
      </c>
    </row>
    <row r="109" spans="3:9">
      <c r="C109" s="82" t="s">
        <v>1871</v>
      </c>
      <c r="D109" s="81" t="s">
        <v>1952</v>
      </c>
      <c r="F109" s="82" t="s">
        <v>1354</v>
      </c>
      <c r="G109" s="84">
        <v>10.7</v>
      </c>
      <c r="H109" s="84">
        <v>10.55</v>
      </c>
      <c r="I109" s="81">
        <v>10.45</v>
      </c>
    </row>
    <row r="110" spans="3:9">
      <c r="C110" s="82" t="s">
        <v>1871</v>
      </c>
      <c r="D110" s="81" t="s">
        <v>1951</v>
      </c>
      <c r="F110" s="82" t="s">
        <v>1337</v>
      </c>
      <c r="G110" s="84">
        <v>10.7</v>
      </c>
      <c r="H110" s="84">
        <v>10.55</v>
      </c>
      <c r="I110" s="81">
        <v>10.45</v>
      </c>
    </row>
    <row r="111" spans="3:9">
      <c r="C111" s="82" t="s">
        <v>1871</v>
      </c>
      <c r="D111" s="81" t="s">
        <v>1950</v>
      </c>
      <c r="F111" s="82" t="s">
        <v>1334</v>
      </c>
      <c r="G111" s="84">
        <v>10.7</v>
      </c>
      <c r="H111" s="84">
        <v>10.55</v>
      </c>
      <c r="I111" s="81">
        <v>10.45</v>
      </c>
    </row>
    <row r="112" spans="3:9">
      <c r="C112" s="82" t="s">
        <v>1871</v>
      </c>
      <c r="D112" s="81" t="s">
        <v>1949</v>
      </c>
      <c r="F112" s="82" t="s">
        <v>1333</v>
      </c>
      <c r="G112" s="84">
        <v>10.7</v>
      </c>
      <c r="H112" s="84">
        <v>10.55</v>
      </c>
      <c r="I112" s="81">
        <v>10.45</v>
      </c>
    </row>
    <row r="113" spans="3:9">
      <c r="C113" s="82" t="s">
        <v>1871</v>
      </c>
      <c r="D113" s="81" t="s">
        <v>1948</v>
      </c>
      <c r="F113" s="82" t="s">
        <v>1328</v>
      </c>
      <c r="G113" s="84">
        <v>10.7</v>
      </c>
      <c r="H113" s="84">
        <v>10.55</v>
      </c>
      <c r="I113" s="81">
        <v>10.45</v>
      </c>
    </row>
    <row r="114" spans="3:9">
      <c r="C114" s="82" t="s">
        <v>1871</v>
      </c>
      <c r="D114" s="81" t="s">
        <v>1947</v>
      </c>
      <c r="F114" s="82" t="s">
        <v>1327</v>
      </c>
      <c r="G114" s="84">
        <v>10.7</v>
      </c>
      <c r="H114" s="84">
        <v>10.55</v>
      </c>
      <c r="I114" s="81">
        <v>10.45</v>
      </c>
    </row>
    <row r="115" spans="3:9">
      <c r="C115" s="82" t="s">
        <v>1871</v>
      </c>
      <c r="D115" s="81" t="s">
        <v>1946</v>
      </c>
      <c r="F115" s="82" t="s">
        <v>1325</v>
      </c>
      <c r="G115" s="84">
        <v>10.7</v>
      </c>
      <c r="H115" s="84">
        <v>10.55</v>
      </c>
      <c r="I115" s="81">
        <v>10.45</v>
      </c>
    </row>
    <row r="116" spans="3:9">
      <c r="C116" s="82" t="s">
        <v>1871</v>
      </c>
      <c r="D116" s="81" t="s">
        <v>1945</v>
      </c>
      <c r="F116" s="82" t="s">
        <v>1323</v>
      </c>
      <c r="G116" s="84">
        <v>10.7</v>
      </c>
      <c r="H116" s="84">
        <v>10.55</v>
      </c>
      <c r="I116" s="81">
        <v>10.45</v>
      </c>
    </row>
    <row r="117" spans="3:9">
      <c r="C117" s="82" t="s">
        <v>1871</v>
      </c>
      <c r="D117" s="81" t="s">
        <v>1944</v>
      </c>
      <c r="F117" s="82" t="s">
        <v>1322</v>
      </c>
      <c r="G117" s="84">
        <v>10.7</v>
      </c>
      <c r="H117" s="84">
        <v>10.55</v>
      </c>
      <c r="I117" s="81">
        <v>10.45</v>
      </c>
    </row>
    <row r="118" spans="3:9">
      <c r="C118" s="82" t="s">
        <v>1871</v>
      </c>
      <c r="D118" s="81" t="s">
        <v>1943</v>
      </c>
      <c r="F118" s="82" t="s">
        <v>1321</v>
      </c>
      <c r="G118" s="84">
        <v>10.7</v>
      </c>
      <c r="H118" s="84">
        <v>10.55</v>
      </c>
      <c r="I118" s="81">
        <v>10.45</v>
      </c>
    </row>
    <row r="119" spans="3:9">
      <c r="C119" s="82" t="s">
        <v>1871</v>
      </c>
      <c r="D119" s="81" t="s">
        <v>1942</v>
      </c>
      <c r="F119" s="82" t="s">
        <v>1310</v>
      </c>
      <c r="G119" s="84">
        <v>10.7</v>
      </c>
      <c r="H119" s="84">
        <v>10.55</v>
      </c>
      <c r="I119" s="81">
        <v>10.45</v>
      </c>
    </row>
    <row r="120" spans="3:9">
      <c r="C120" s="82" t="s">
        <v>1871</v>
      </c>
      <c r="D120" s="81" t="s">
        <v>1941</v>
      </c>
      <c r="F120" s="82" t="s">
        <v>1020</v>
      </c>
      <c r="G120" s="84">
        <v>10.7</v>
      </c>
      <c r="H120" s="84">
        <v>10.55</v>
      </c>
      <c r="I120" s="81">
        <v>10.45</v>
      </c>
    </row>
    <row r="121" spans="3:9">
      <c r="C121" s="82" t="s">
        <v>1871</v>
      </c>
      <c r="D121" s="81" t="s">
        <v>1940</v>
      </c>
      <c r="F121" s="82" t="s">
        <v>1016</v>
      </c>
      <c r="G121" s="84">
        <v>10.7</v>
      </c>
      <c r="H121" s="84">
        <v>10.55</v>
      </c>
      <c r="I121" s="81">
        <v>10.45</v>
      </c>
    </row>
    <row r="122" spans="3:9">
      <c r="C122" s="82" t="s">
        <v>1871</v>
      </c>
      <c r="D122" s="81" t="s">
        <v>1939</v>
      </c>
      <c r="F122" s="82" t="s">
        <v>1938</v>
      </c>
      <c r="G122" s="84">
        <v>10.7</v>
      </c>
      <c r="H122" s="84">
        <v>10.55</v>
      </c>
      <c r="I122" s="81">
        <v>10.45</v>
      </c>
    </row>
    <row r="123" spans="3:9">
      <c r="C123" s="82" t="s">
        <v>1871</v>
      </c>
      <c r="D123" s="81" t="s">
        <v>1937</v>
      </c>
      <c r="F123" s="82" t="s">
        <v>960</v>
      </c>
      <c r="G123" s="84">
        <v>10.7</v>
      </c>
      <c r="H123" s="84">
        <v>10.55</v>
      </c>
      <c r="I123" s="81">
        <v>10.45</v>
      </c>
    </row>
    <row r="124" spans="3:9">
      <c r="C124" s="82" t="s">
        <v>1871</v>
      </c>
      <c r="D124" s="81" t="s">
        <v>1936</v>
      </c>
      <c r="F124" s="82" t="s">
        <v>956</v>
      </c>
      <c r="G124" s="84">
        <v>10.7</v>
      </c>
      <c r="H124" s="84">
        <v>10.55</v>
      </c>
      <c r="I124" s="81">
        <v>10.45</v>
      </c>
    </row>
    <row r="125" spans="3:9">
      <c r="C125" s="82" t="s">
        <v>1871</v>
      </c>
      <c r="D125" s="81" t="s">
        <v>1935</v>
      </c>
      <c r="F125" s="82" t="s">
        <v>1934</v>
      </c>
      <c r="G125" s="84">
        <v>10.7</v>
      </c>
      <c r="H125" s="84">
        <v>10.55</v>
      </c>
      <c r="I125" s="81">
        <v>10.45</v>
      </c>
    </row>
    <row r="126" spans="3:9">
      <c r="C126" s="82" t="s">
        <v>1871</v>
      </c>
      <c r="D126" s="81" t="s">
        <v>1933</v>
      </c>
      <c r="F126" s="82" t="s">
        <v>941</v>
      </c>
      <c r="G126" s="84">
        <v>10.7</v>
      </c>
      <c r="H126" s="84">
        <v>10.55</v>
      </c>
      <c r="I126" s="81">
        <v>10.45</v>
      </c>
    </row>
    <row r="127" spans="3:9">
      <c r="C127" s="82" t="s">
        <v>1871</v>
      </c>
      <c r="D127" s="81" t="s">
        <v>1932</v>
      </c>
      <c r="F127" s="82" t="s">
        <v>932</v>
      </c>
      <c r="G127" s="84">
        <v>10.7</v>
      </c>
      <c r="H127" s="84">
        <v>10.55</v>
      </c>
      <c r="I127" s="81">
        <v>10.45</v>
      </c>
    </row>
    <row r="128" spans="3:9">
      <c r="C128" s="82" t="s">
        <v>1871</v>
      </c>
      <c r="D128" s="81" t="s">
        <v>1931</v>
      </c>
      <c r="F128" s="82" t="s">
        <v>913</v>
      </c>
      <c r="G128" s="84">
        <v>10.7</v>
      </c>
      <c r="H128" s="84">
        <v>10.55</v>
      </c>
      <c r="I128" s="81">
        <v>10.45</v>
      </c>
    </row>
    <row r="129" spans="3:9">
      <c r="C129" s="82" t="s">
        <v>1871</v>
      </c>
      <c r="D129" s="81" t="s">
        <v>1930</v>
      </c>
      <c r="F129" s="82" t="s">
        <v>904</v>
      </c>
      <c r="G129" s="84">
        <v>10.7</v>
      </c>
      <c r="H129" s="84">
        <v>10.55</v>
      </c>
      <c r="I129" s="81">
        <v>10.45</v>
      </c>
    </row>
    <row r="130" spans="3:9">
      <c r="C130" s="82" t="s">
        <v>1871</v>
      </c>
      <c r="D130" s="81" t="s">
        <v>1929</v>
      </c>
      <c r="F130" s="82" t="s">
        <v>903</v>
      </c>
      <c r="G130" s="84">
        <v>10.7</v>
      </c>
      <c r="H130" s="84">
        <v>10.55</v>
      </c>
      <c r="I130" s="81">
        <v>10.45</v>
      </c>
    </row>
    <row r="131" spans="3:9">
      <c r="C131" s="82" t="s">
        <v>1871</v>
      </c>
      <c r="D131" s="81" t="s">
        <v>1928</v>
      </c>
      <c r="F131" s="82" t="s">
        <v>902</v>
      </c>
      <c r="G131" s="84">
        <v>10.7</v>
      </c>
      <c r="H131" s="84">
        <v>10.55</v>
      </c>
      <c r="I131" s="81">
        <v>10.45</v>
      </c>
    </row>
    <row r="132" spans="3:9">
      <c r="C132" s="82" t="s">
        <v>1871</v>
      </c>
      <c r="D132" s="81" t="s">
        <v>1927</v>
      </c>
      <c r="F132" s="82" t="s">
        <v>897</v>
      </c>
      <c r="G132" s="84">
        <v>10.7</v>
      </c>
      <c r="H132" s="84">
        <v>10.55</v>
      </c>
      <c r="I132" s="81">
        <v>10.45</v>
      </c>
    </row>
    <row r="133" spans="3:9">
      <c r="C133" s="82" t="s">
        <v>1871</v>
      </c>
      <c r="D133" s="81" t="s">
        <v>1926</v>
      </c>
      <c r="F133" s="82" t="s">
        <v>890</v>
      </c>
      <c r="G133" s="84">
        <v>10.7</v>
      </c>
      <c r="H133" s="84">
        <v>10.55</v>
      </c>
      <c r="I133" s="81">
        <v>10.45</v>
      </c>
    </row>
    <row r="134" spans="3:9">
      <c r="C134" s="82" t="s">
        <v>1871</v>
      </c>
      <c r="D134" s="81" t="s">
        <v>1925</v>
      </c>
      <c r="F134" s="82" t="s">
        <v>889</v>
      </c>
      <c r="G134" s="84">
        <v>10.7</v>
      </c>
      <c r="H134" s="84">
        <v>10.55</v>
      </c>
      <c r="I134" s="81">
        <v>10.45</v>
      </c>
    </row>
    <row r="135" spans="3:9">
      <c r="C135" s="82" t="s">
        <v>1871</v>
      </c>
      <c r="D135" s="81" t="s">
        <v>1924</v>
      </c>
      <c r="F135" s="82" t="s">
        <v>887</v>
      </c>
      <c r="G135" s="84">
        <v>10.7</v>
      </c>
      <c r="H135" s="84">
        <v>10.55</v>
      </c>
      <c r="I135" s="81">
        <v>10.45</v>
      </c>
    </row>
    <row r="136" spans="3:9">
      <c r="C136" s="82" t="s">
        <v>1871</v>
      </c>
      <c r="D136" s="81" t="s">
        <v>1923</v>
      </c>
      <c r="F136" s="82" t="s">
        <v>884</v>
      </c>
      <c r="G136" s="84">
        <v>10.7</v>
      </c>
      <c r="H136" s="84">
        <v>10.55</v>
      </c>
      <c r="I136" s="81">
        <v>10.45</v>
      </c>
    </row>
    <row r="137" spans="3:9">
      <c r="C137" s="82" t="s">
        <v>1871</v>
      </c>
      <c r="D137" s="81" t="s">
        <v>1922</v>
      </c>
      <c r="F137" s="82" t="s">
        <v>869</v>
      </c>
      <c r="G137" s="84">
        <v>10.7</v>
      </c>
      <c r="H137" s="84">
        <v>10.55</v>
      </c>
      <c r="I137" s="81">
        <v>10.45</v>
      </c>
    </row>
    <row r="138" spans="3:9">
      <c r="C138" s="82" t="s">
        <v>1871</v>
      </c>
      <c r="D138" s="81" t="s">
        <v>1921</v>
      </c>
      <c r="F138" s="82" t="s">
        <v>864</v>
      </c>
      <c r="G138" s="84">
        <v>10.7</v>
      </c>
      <c r="H138" s="84">
        <v>10.55</v>
      </c>
      <c r="I138" s="81">
        <v>10.45</v>
      </c>
    </row>
    <row r="139" spans="3:9">
      <c r="C139" s="82" t="s">
        <v>1871</v>
      </c>
      <c r="D139" s="81" t="s">
        <v>1920</v>
      </c>
      <c r="F139" s="82" t="s">
        <v>855</v>
      </c>
      <c r="G139" s="84">
        <v>10.7</v>
      </c>
      <c r="H139" s="84">
        <v>10.55</v>
      </c>
      <c r="I139" s="81">
        <v>10.45</v>
      </c>
    </row>
    <row r="140" spans="3:9">
      <c r="C140" s="82" t="s">
        <v>1871</v>
      </c>
      <c r="D140" s="81" t="s">
        <v>1919</v>
      </c>
      <c r="F140" s="82" t="s">
        <v>853</v>
      </c>
      <c r="G140" s="84">
        <v>10.7</v>
      </c>
      <c r="H140" s="84">
        <v>10.55</v>
      </c>
      <c r="I140" s="81">
        <v>10.45</v>
      </c>
    </row>
    <row r="141" spans="3:9">
      <c r="C141" s="82" t="s">
        <v>1871</v>
      </c>
      <c r="D141" s="81" t="s">
        <v>1918</v>
      </c>
      <c r="F141" s="82" t="s">
        <v>692</v>
      </c>
      <c r="G141" s="84">
        <v>10.7</v>
      </c>
      <c r="H141" s="84">
        <v>10.55</v>
      </c>
      <c r="I141" s="81">
        <v>10.45</v>
      </c>
    </row>
    <row r="142" spans="3:9">
      <c r="C142" s="82" t="s">
        <v>1871</v>
      </c>
      <c r="D142" s="81" t="s">
        <v>1917</v>
      </c>
      <c r="F142" s="82" t="s">
        <v>678</v>
      </c>
      <c r="G142" s="84">
        <v>10.7</v>
      </c>
      <c r="H142" s="84">
        <v>10.55</v>
      </c>
      <c r="I142" s="81">
        <v>10.45</v>
      </c>
    </row>
    <row r="143" spans="3:9">
      <c r="C143" s="82" t="s">
        <v>1871</v>
      </c>
      <c r="D143" s="81" t="s">
        <v>1916</v>
      </c>
      <c r="F143" s="82" t="s">
        <v>1915</v>
      </c>
      <c r="G143" s="84">
        <v>10.7</v>
      </c>
      <c r="H143" s="84">
        <v>10.55</v>
      </c>
      <c r="I143" s="81">
        <v>10.45</v>
      </c>
    </row>
    <row r="144" spans="3:9">
      <c r="C144" s="82" t="s">
        <v>1871</v>
      </c>
      <c r="D144" s="81" t="s">
        <v>1914</v>
      </c>
      <c r="F144" s="82" t="s">
        <v>1913</v>
      </c>
      <c r="G144" s="84">
        <v>10.7</v>
      </c>
      <c r="H144" s="84">
        <v>10.55</v>
      </c>
      <c r="I144" s="81">
        <v>10.45</v>
      </c>
    </row>
    <row r="145" spans="3:9">
      <c r="C145" s="82" t="s">
        <v>1871</v>
      </c>
      <c r="D145" s="81" t="s">
        <v>1912</v>
      </c>
      <c r="F145" s="82" t="s">
        <v>1789</v>
      </c>
      <c r="G145" s="84">
        <v>10.42</v>
      </c>
      <c r="H145" s="84">
        <v>10.33</v>
      </c>
      <c r="I145" s="81">
        <v>10.27</v>
      </c>
    </row>
    <row r="146" spans="3:9">
      <c r="C146" s="82" t="s">
        <v>1871</v>
      </c>
      <c r="D146" s="81" t="s">
        <v>773</v>
      </c>
      <c r="F146" s="82" t="s">
        <v>1911</v>
      </c>
      <c r="G146" s="84">
        <v>10.42</v>
      </c>
      <c r="H146" s="84">
        <v>10.33</v>
      </c>
      <c r="I146" s="81">
        <v>10.27</v>
      </c>
    </row>
    <row r="147" spans="3:9">
      <c r="C147" s="82" t="s">
        <v>1871</v>
      </c>
      <c r="D147" s="81" t="s">
        <v>1910</v>
      </c>
      <c r="F147" s="82" t="s">
        <v>1622</v>
      </c>
      <c r="G147" s="84">
        <v>10.42</v>
      </c>
      <c r="H147" s="84">
        <v>10.33</v>
      </c>
      <c r="I147" s="81">
        <v>10.27</v>
      </c>
    </row>
    <row r="148" spans="3:9">
      <c r="C148" s="82" t="s">
        <v>1871</v>
      </c>
      <c r="D148" s="81" t="s">
        <v>1909</v>
      </c>
      <c r="F148" s="82" t="s">
        <v>1621</v>
      </c>
      <c r="G148" s="84">
        <v>10.42</v>
      </c>
      <c r="H148" s="84">
        <v>10.33</v>
      </c>
      <c r="I148" s="81">
        <v>10.27</v>
      </c>
    </row>
    <row r="149" spans="3:9">
      <c r="C149" s="82" t="s">
        <v>1871</v>
      </c>
      <c r="D149" s="81" t="s">
        <v>1908</v>
      </c>
      <c r="F149" s="82" t="s">
        <v>1579</v>
      </c>
      <c r="G149" s="84">
        <v>10.42</v>
      </c>
      <c r="H149" s="84">
        <v>10.33</v>
      </c>
      <c r="I149" s="81">
        <v>10.27</v>
      </c>
    </row>
    <row r="150" spans="3:9">
      <c r="C150" s="82" t="s">
        <v>1871</v>
      </c>
      <c r="D150" s="81" t="s">
        <v>1907</v>
      </c>
      <c r="F150" s="82" t="s">
        <v>1578</v>
      </c>
      <c r="G150" s="84">
        <v>10.42</v>
      </c>
      <c r="H150" s="84">
        <v>10.33</v>
      </c>
      <c r="I150" s="81">
        <v>10.27</v>
      </c>
    </row>
    <row r="151" spans="3:9">
      <c r="C151" s="82" t="s">
        <v>1871</v>
      </c>
      <c r="D151" s="81" t="s">
        <v>1906</v>
      </c>
      <c r="F151" s="82" t="s">
        <v>1558</v>
      </c>
      <c r="G151" s="84">
        <v>10.42</v>
      </c>
      <c r="H151" s="84">
        <v>10.33</v>
      </c>
      <c r="I151" s="81">
        <v>10.27</v>
      </c>
    </row>
    <row r="152" spans="3:9">
      <c r="C152" s="82" t="s">
        <v>1871</v>
      </c>
      <c r="D152" s="81" t="s">
        <v>1905</v>
      </c>
      <c r="F152" s="82" t="s">
        <v>1551</v>
      </c>
      <c r="G152" s="84">
        <v>10.42</v>
      </c>
      <c r="H152" s="84">
        <v>10.33</v>
      </c>
      <c r="I152" s="81">
        <v>10.27</v>
      </c>
    </row>
    <row r="153" spans="3:9">
      <c r="C153" s="82" t="s">
        <v>1871</v>
      </c>
      <c r="D153" s="81" t="s">
        <v>1904</v>
      </c>
      <c r="F153" s="82" t="s">
        <v>1518</v>
      </c>
      <c r="G153" s="84">
        <v>10.42</v>
      </c>
      <c r="H153" s="84">
        <v>10.33</v>
      </c>
      <c r="I153" s="81">
        <v>10.27</v>
      </c>
    </row>
    <row r="154" spans="3:9">
      <c r="C154" s="82" t="s">
        <v>1871</v>
      </c>
      <c r="D154" s="81" t="s">
        <v>1903</v>
      </c>
      <c r="F154" s="82" t="s">
        <v>1515</v>
      </c>
      <c r="G154" s="84">
        <v>10.42</v>
      </c>
      <c r="H154" s="84">
        <v>10.33</v>
      </c>
      <c r="I154" s="81">
        <v>10.27</v>
      </c>
    </row>
    <row r="155" spans="3:9">
      <c r="C155" s="82" t="s">
        <v>1871</v>
      </c>
      <c r="D155" s="81" t="s">
        <v>1902</v>
      </c>
      <c r="F155" s="82" t="s">
        <v>1513</v>
      </c>
      <c r="G155" s="84">
        <v>10.42</v>
      </c>
      <c r="H155" s="84">
        <v>10.33</v>
      </c>
      <c r="I155" s="81">
        <v>10.27</v>
      </c>
    </row>
    <row r="156" spans="3:9">
      <c r="C156" s="82" t="s">
        <v>1871</v>
      </c>
      <c r="D156" s="81" t="s">
        <v>1901</v>
      </c>
      <c r="F156" s="82" t="s">
        <v>1900</v>
      </c>
      <c r="G156" s="84">
        <v>10.42</v>
      </c>
      <c r="H156" s="84">
        <v>10.33</v>
      </c>
      <c r="I156" s="81">
        <v>10.27</v>
      </c>
    </row>
    <row r="157" spans="3:9">
      <c r="C157" s="82" t="s">
        <v>1871</v>
      </c>
      <c r="D157" s="81" t="s">
        <v>1899</v>
      </c>
      <c r="F157" s="82" t="s">
        <v>1511</v>
      </c>
      <c r="G157" s="84">
        <v>10.42</v>
      </c>
      <c r="H157" s="84">
        <v>10.33</v>
      </c>
      <c r="I157" s="81">
        <v>10.27</v>
      </c>
    </row>
    <row r="158" spans="3:9">
      <c r="C158" s="82" t="s">
        <v>1871</v>
      </c>
      <c r="D158" s="81" t="s">
        <v>1051</v>
      </c>
      <c r="F158" s="82" t="s">
        <v>1509</v>
      </c>
      <c r="G158" s="84">
        <v>10.42</v>
      </c>
      <c r="H158" s="84">
        <v>10.33</v>
      </c>
      <c r="I158" s="81">
        <v>10.27</v>
      </c>
    </row>
    <row r="159" spans="3:9">
      <c r="C159" s="82" t="s">
        <v>1871</v>
      </c>
      <c r="D159" s="81" t="s">
        <v>1898</v>
      </c>
      <c r="F159" s="82" t="s">
        <v>1508</v>
      </c>
      <c r="G159" s="84">
        <v>10.42</v>
      </c>
      <c r="H159" s="84">
        <v>10.33</v>
      </c>
      <c r="I159" s="81">
        <v>10.27</v>
      </c>
    </row>
    <row r="160" spans="3:9">
      <c r="C160" s="82" t="s">
        <v>1871</v>
      </c>
      <c r="D160" s="81" t="s">
        <v>1897</v>
      </c>
      <c r="F160" s="82" t="s">
        <v>1507</v>
      </c>
      <c r="G160" s="84">
        <v>10.42</v>
      </c>
      <c r="H160" s="84">
        <v>10.33</v>
      </c>
      <c r="I160" s="81">
        <v>10.27</v>
      </c>
    </row>
    <row r="161" spans="3:9">
      <c r="C161" s="82" t="s">
        <v>1871</v>
      </c>
      <c r="D161" s="81" t="s">
        <v>1896</v>
      </c>
      <c r="F161" s="82" t="s">
        <v>1506</v>
      </c>
      <c r="G161" s="84">
        <v>10.42</v>
      </c>
      <c r="H161" s="84">
        <v>10.33</v>
      </c>
      <c r="I161" s="81">
        <v>10.27</v>
      </c>
    </row>
    <row r="162" spans="3:9">
      <c r="C162" s="82" t="s">
        <v>1871</v>
      </c>
      <c r="D162" s="81" t="s">
        <v>1895</v>
      </c>
      <c r="F162" s="82" t="s">
        <v>1505</v>
      </c>
      <c r="G162" s="84">
        <v>10.42</v>
      </c>
      <c r="H162" s="84">
        <v>10.33</v>
      </c>
      <c r="I162" s="81">
        <v>10.27</v>
      </c>
    </row>
    <row r="163" spans="3:9">
      <c r="C163" s="82" t="s">
        <v>1871</v>
      </c>
      <c r="D163" s="81" t="s">
        <v>1894</v>
      </c>
      <c r="F163" s="82" t="s">
        <v>1503</v>
      </c>
      <c r="G163" s="84">
        <v>10.42</v>
      </c>
      <c r="H163" s="84">
        <v>10.33</v>
      </c>
      <c r="I163" s="81">
        <v>10.27</v>
      </c>
    </row>
    <row r="164" spans="3:9">
      <c r="C164" s="82" t="s">
        <v>1871</v>
      </c>
      <c r="D164" s="81" t="s">
        <v>1893</v>
      </c>
      <c r="F164" s="82" t="s">
        <v>1501</v>
      </c>
      <c r="G164" s="84">
        <v>10.42</v>
      </c>
      <c r="H164" s="84">
        <v>10.33</v>
      </c>
      <c r="I164" s="81">
        <v>10.27</v>
      </c>
    </row>
    <row r="165" spans="3:9">
      <c r="C165" s="82" t="s">
        <v>1871</v>
      </c>
      <c r="D165" s="81" t="s">
        <v>1092</v>
      </c>
      <c r="F165" s="82" t="s">
        <v>1500</v>
      </c>
      <c r="G165" s="84">
        <v>10.42</v>
      </c>
      <c r="H165" s="84">
        <v>10.33</v>
      </c>
      <c r="I165" s="81">
        <v>10.27</v>
      </c>
    </row>
    <row r="166" spans="3:9">
      <c r="C166" s="82" t="s">
        <v>1871</v>
      </c>
      <c r="D166" s="81" t="s">
        <v>1892</v>
      </c>
      <c r="F166" s="82" t="s">
        <v>1498</v>
      </c>
      <c r="G166" s="84">
        <v>10.42</v>
      </c>
      <c r="H166" s="84">
        <v>10.33</v>
      </c>
      <c r="I166" s="81">
        <v>10.27</v>
      </c>
    </row>
    <row r="167" spans="3:9">
      <c r="C167" s="82" t="s">
        <v>1871</v>
      </c>
      <c r="D167" s="81" t="s">
        <v>1891</v>
      </c>
      <c r="F167" s="82" t="s">
        <v>1493</v>
      </c>
      <c r="G167" s="84">
        <v>10.42</v>
      </c>
      <c r="H167" s="84">
        <v>10.33</v>
      </c>
      <c r="I167" s="81">
        <v>10.27</v>
      </c>
    </row>
    <row r="168" spans="3:9">
      <c r="C168" s="82" t="s">
        <v>1871</v>
      </c>
      <c r="D168" s="81" t="s">
        <v>1890</v>
      </c>
      <c r="F168" s="82" t="s">
        <v>1492</v>
      </c>
      <c r="G168" s="84">
        <v>10.42</v>
      </c>
      <c r="H168" s="84">
        <v>10.33</v>
      </c>
      <c r="I168" s="81">
        <v>10.27</v>
      </c>
    </row>
    <row r="169" spans="3:9">
      <c r="C169" s="82" t="s">
        <v>1871</v>
      </c>
      <c r="D169" s="81" t="s">
        <v>1889</v>
      </c>
      <c r="F169" s="82" t="s">
        <v>1491</v>
      </c>
      <c r="G169" s="84">
        <v>10.42</v>
      </c>
      <c r="H169" s="84">
        <v>10.33</v>
      </c>
      <c r="I169" s="81">
        <v>10.27</v>
      </c>
    </row>
    <row r="170" spans="3:9">
      <c r="C170" s="82" t="s">
        <v>1871</v>
      </c>
      <c r="D170" s="81" t="s">
        <v>1888</v>
      </c>
      <c r="F170" s="82" t="s">
        <v>1489</v>
      </c>
      <c r="G170" s="84">
        <v>10.42</v>
      </c>
      <c r="H170" s="84">
        <v>10.33</v>
      </c>
      <c r="I170" s="81">
        <v>10.27</v>
      </c>
    </row>
    <row r="171" spans="3:9">
      <c r="C171" s="82" t="s">
        <v>1871</v>
      </c>
      <c r="D171" s="81" t="s">
        <v>1887</v>
      </c>
      <c r="F171" s="82" t="s">
        <v>1488</v>
      </c>
      <c r="G171" s="84">
        <v>10.42</v>
      </c>
      <c r="H171" s="84">
        <v>10.33</v>
      </c>
      <c r="I171" s="81">
        <v>10.27</v>
      </c>
    </row>
    <row r="172" spans="3:9">
      <c r="C172" s="82" t="s">
        <v>1871</v>
      </c>
      <c r="D172" s="81" t="s">
        <v>1886</v>
      </c>
      <c r="F172" s="82" t="s">
        <v>1487</v>
      </c>
      <c r="G172" s="84">
        <v>10.42</v>
      </c>
      <c r="H172" s="84">
        <v>10.33</v>
      </c>
      <c r="I172" s="81">
        <v>10.27</v>
      </c>
    </row>
    <row r="173" spans="3:9">
      <c r="C173" s="82" t="s">
        <v>1871</v>
      </c>
      <c r="D173" s="81" t="s">
        <v>1885</v>
      </c>
      <c r="F173" s="82" t="s">
        <v>1486</v>
      </c>
      <c r="G173" s="84">
        <v>10.42</v>
      </c>
      <c r="H173" s="84">
        <v>10.33</v>
      </c>
      <c r="I173" s="81">
        <v>10.27</v>
      </c>
    </row>
    <row r="174" spans="3:9">
      <c r="C174" s="82" t="s">
        <v>1871</v>
      </c>
      <c r="D174" s="81" t="s">
        <v>1884</v>
      </c>
      <c r="F174" s="82" t="s">
        <v>1485</v>
      </c>
      <c r="G174" s="84">
        <v>10.42</v>
      </c>
      <c r="H174" s="84">
        <v>10.33</v>
      </c>
      <c r="I174" s="81">
        <v>10.27</v>
      </c>
    </row>
    <row r="175" spans="3:9">
      <c r="C175" s="82" t="s">
        <v>1871</v>
      </c>
      <c r="D175" s="81" t="s">
        <v>1883</v>
      </c>
      <c r="F175" s="82" t="s">
        <v>1484</v>
      </c>
      <c r="G175" s="84">
        <v>10.42</v>
      </c>
      <c r="H175" s="84">
        <v>10.33</v>
      </c>
      <c r="I175" s="81">
        <v>10.27</v>
      </c>
    </row>
    <row r="176" spans="3:9">
      <c r="C176" s="82" t="s">
        <v>1871</v>
      </c>
      <c r="D176" s="81" t="s">
        <v>1882</v>
      </c>
      <c r="F176" s="82" t="s">
        <v>1482</v>
      </c>
      <c r="G176" s="84">
        <v>10.42</v>
      </c>
      <c r="H176" s="84">
        <v>10.33</v>
      </c>
      <c r="I176" s="81">
        <v>10.27</v>
      </c>
    </row>
    <row r="177" spans="3:9">
      <c r="C177" s="82" t="s">
        <v>1871</v>
      </c>
      <c r="D177" s="81" t="s">
        <v>1881</v>
      </c>
      <c r="F177" s="82" t="s">
        <v>1480</v>
      </c>
      <c r="G177" s="84">
        <v>10.42</v>
      </c>
      <c r="H177" s="84">
        <v>10.33</v>
      </c>
      <c r="I177" s="81">
        <v>10.27</v>
      </c>
    </row>
    <row r="178" spans="3:9">
      <c r="C178" s="82" t="s">
        <v>1871</v>
      </c>
      <c r="D178" s="81" t="s">
        <v>1880</v>
      </c>
      <c r="F178" s="82" t="s">
        <v>1479</v>
      </c>
      <c r="G178" s="84">
        <v>10.42</v>
      </c>
      <c r="H178" s="84">
        <v>10.33</v>
      </c>
      <c r="I178" s="81">
        <v>10.27</v>
      </c>
    </row>
    <row r="179" spans="3:9">
      <c r="C179" s="82" t="s">
        <v>1871</v>
      </c>
      <c r="D179" s="81" t="s">
        <v>1879</v>
      </c>
      <c r="F179" s="82" t="s">
        <v>1478</v>
      </c>
      <c r="G179" s="84">
        <v>10.42</v>
      </c>
      <c r="H179" s="84">
        <v>10.33</v>
      </c>
      <c r="I179" s="81">
        <v>10.27</v>
      </c>
    </row>
    <row r="180" spans="3:9">
      <c r="C180" s="82" t="s">
        <v>1871</v>
      </c>
      <c r="D180" s="81" t="s">
        <v>1878</v>
      </c>
      <c r="F180" s="82" t="s">
        <v>1460</v>
      </c>
      <c r="G180" s="84">
        <v>10.42</v>
      </c>
      <c r="H180" s="84">
        <v>10.33</v>
      </c>
      <c r="I180" s="81">
        <v>10.27</v>
      </c>
    </row>
    <row r="181" spans="3:9">
      <c r="C181" s="82" t="s">
        <v>1871</v>
      </c>
      <c r="D181" s="81" t="s">
        <v>1877</v>
      </c>
      <c r="F181" s="82" t="s">
        <v>1459</v>
      </c>
      <c r="G181" s="84">
        <v>10.42</v>
      </c>
      <c r="H181" s="84">
        <v>10.33</v>
      </c>
      <c r="I181" s="81">
        <v>10.27</v>
      </c>
    </row>
    <row r="182" spans="3:9">
      <c r="C182" s="82" t="s">
        <v>1871</v>
      </c>
      <c r="D182" s="81" t="s">
        <v>1876</v>
      </c>
      <c r="F182" s="82" t="s">
        <v>1457</v>
      </c>
      <c r="G182" s="84">
        <v>10.42</v>
      </c>
      <c r="H182" s="84">
        <v>10.33</v>
      </c>
      <c r="I182" s="81">
        <v>10.27</v>
      </c>
    </row>
    <row r="183" spans="3:9">
      <c r="C183" s="82" t="s">
        <v>1871</v>
      </c>
      <c r="D183" s="81" t="s">
        <v>1875</v>
      </c>
      <c r="F183" s="82" t="s">
        <v>1451</v>
      </c>
      <c r="G183" s="84">
        <v>10.42</v>
      </c>
      <c r="H183" s="84">
        <v>10.33</v>
      </c>
      <c r="I183" s="81">
        <v>10.27</v>
      </c>
    </row>
    <row r="184" spans="3:9">
      <c r="C184" s="82" t="s">
        <v>1871</v>
      </c>
      <c r="D184" s="81" t="s">
        <v>1874</v>
      </c>
      <c r="F184" s="82" t="s">
        <v>1449</v>
      </c>
      <c r="G184" s="84">
        <v>10.42</v>
      </c>
      <c r="H184" s="84">
        <v>10.33</v>
      </c>
      <c r="I184" s="81">
        <v>10.27</v>
      </c>
    </row>
    <row r="185" spans="3:9">
      <c r="C185" s="82" t="s">
        <v>1871</v>
      </c>
      <c r="D185" s="81" t="s">
        <v>1873</v>
      </c>
      <c r="F185" s="82" t="s">
        <v>1448</v>
      </c>
      <c r="G185" s="84">
        <v>10.42</v>
      </c>
      <c r="H185" s="84">
        <v>10.33</v>
      </c>
      <c r="I185" s="81">
        <v>10.27</v>
      </c>
    </row>
    <row r="186" spans="3:9">
      <c r="C186" s="82" t="s">
        <v>1871</v>
      </c>
      <c r="D186" s="81" t="s">
        <v>1872</v>
      </c>
      <c r="F186" s="82" t="s">
        <v>1442</v>
      </c>
      <c r="G186" s="84">
        <v>10.42</v>
      </c>
      <c r="H186" s="84">
        <v>10.33</v>
      </c>
      <c r="I186" s="81">
        <v>10.27</v>
      </c>
    </row>
    <row r="187" spans="3:9">
      <c r="C187" s="82" t="s">
        <v>1871</v>
      </c>
      <c r="D187" s="81" t="s">
        <v>1870</v>
      </c>
      <c r="F187" s="82" t="s">
        <v>1439</v>
      </c>
      <c r="G187" s="84">
        <v>10.42</v>
      </c>
      <c r="H187" s="84">
        <v>10.33</v>
      </c>
      <c r="I187" s="81">
        <v>10.27</v>
      </c>
    </row>
    <row r="188" spans="3:9">
      <c r="C188" s="82" t="s">
        <v>1827</v>
      </c>
      <c r="D188" s="81" t="s">
        <v>1869</v>
      </c>
      <c r="F188" s="82" t="s">
        <v>1437</v>
      </c>
      <c r="G188" s="84">
        <v>10.42</v>
      </c>
      <c r="H188" s="84">
        <v>10.33</v>
      </c>
      <c r="I188" s="81">
        <v>10.27</v>
      </c>
    </row>
    <row r="189" spans="3:9">
      <c r="C189" s="82" t="s">
        <v>1827</v>
      </c>
      <c r="D189" s="81" t="s">
        <v>1868</v>
      </c>
      <c r="F189" s="82" t="s">
        <v>1435</v>
      </c>
      <c r="G189" s="84">
        <v>10.42</v>
      </c>
      <c r="H189" s="84">
        <v>10.33</v>
      </c>
      <c r="I189" s="81">
        <v>10.27</v>
      </c>
    </row>
    <row r="190" spans="3:9">
      <c r="C190" s="82" t="s">
        <v>1827</v>
      </c>
      <c r="D190" s="81" t="s">
        <v>1867</v>
      </c>
      <c r="F190" s="82" t="s">
        <v>1427</v>
      </c>
      <c r="G190" s="84">
        <v>10.42</v>
      </c>
      <c r="H190" s="84">
        <v>10.33</v>
      </c>
      <c r="I190" s="81">
        <v>10.27</v>
      </c>
    </row>
    <row r="191" spans="3:9">
      <c r="C191" s="82" t="s">
        <v>1827</v>
      </c>
      <c r="D191" s="81" t="s">
        <v>1866</v>
      </c>
      <c r="F191" s="82" t="s">
        <v>1419</v>
      </c>
      <c r="G191" s="84">
        <v>10.42</v>
      </c>
      <c r="H191" s="84">
        <v>10.33</v>
      </c>
      <c r="I191" s="81">
        <v>10.27</v>
      </c>
    </row>
    <row r="192" spans="3:9">
      <c r="C192" s="82" t="s">
        <v>1827</v>
      </c>
      <c r="D192" s="81" t="s">
        <v>1865</v>
      </c>
      <c r="F192" s="82" t="s">
        <v>1361</v>
      </c>
      <c r="G192" s="84">
        <v>10.42</v>
      </c>
      <c r="H192" s="84">
        <v>10.33</v>
      </c>
      <c r="I192" s="81">
        <v>10.27</v>
      </c>
    </row>
    <row r="193" spans="3:9">
      <c r="C193" s="82" t="s">
        <v>1827</v>
      </c>
      <c r="D193" s="81" t="s">
        <v>1864</v>
      </c>
      <c r="F193" s="82" t="s">
        <v>1358</v>
      </c>
      <c r="G193" s="84">
        <v>10.42</v>
      </c>
      <c r="H193" s="84">
        <v>10.33</v>
      </c>
      <c r="I193" s="81">
        <v>10.27</v>
      </c>
    </row>
    <row r="194" spans="3:9">
      <c r="C194" s="82" t="s">
        <v>1827</v>
      </c>
      <c r="D194" s="81" t="s">
        <v>1863</v>
      </c>
      <c r="F194" s="82" t="s">
        <v>1862</v>
      </c>
      <c r="G194" s="84">
        <v>10.42</v>
      </c>
      <c r="H194" s="84">
        <v>10.33</v>
      </c>
      <c r="I194" s="81">
        <v>10.27</v>
      </c>
    </row>
    <row r="195" spans="3:9">
      <c r="C195" s="82" t="s">
        <v>1827</v>
      </c>
      <c r="D195" s="81" t="s">
        <v>1861</v>
      </c>
      <c r="F195" s="82" t="s">
        <v>1352</v>
      </c>
      <c r="G195" s="84">
        <v>10.42</v>
      </c>
      <c r="H195" s="84">
        <v>10.33</v>
      </c>
      <c r="I195" s="81">
        <v>10.27</v>
      </c>
    </row>
    <row r="196" spans="3:9">
      <c r="C196" s="82" t="s">
        <v>1827</v>
      </c>
      <c r="D196" s="81" t="s">
        <v>1860</v>
      </c>
      <c r="F196" s="82" t="s">
        <v>1353</v>
      </c>
      <c r="G196" s="84">
        <v>10.42</v>
      </c>
      <c r="H196" s="84">
        <v>10.33</v>
      </c>
      <c r="I196" s="81">
        <v>10.27</v>
      </c>
    </row>
    <row r="197" spans="3:9">
      <c r="C197" s="82" t="s">
        <v>1827</v>
      </c>
      <c r="D197" s="81" t="s">
        <v>1859</v>
      </c>
      <c r="F197" s="82" t="s">
        <v>1330</v>
      </c>
      <c r="G197" s="84">
        <v>10.42</v>
      </c>
      <c r="H197" s="84">
        <v>10.33</v>
      </c>
      <c r="I197" s="81">
        <v>10.27</v>
      </c>
    </row>
    <row r="198" spans="3:9">
      <c r="C198" s="82" t="s">
        <v>1827</v>
      </c>
      <c r="D198" s="81" t="s">
        <v>1858</v>
      </c>
      <c r="F198" s="82" t="s">
        <v>1320</v>
      </c>
      <c r="G198" s="84">
        <v>10.42</v>
      </c>
      <c r="H198" s="84">
        <v>10.33</v>
      </c>
      <c r="I198" s="81">
        <v>10.27</v>
      </c>
    </row>
    <row r="199" spans="3:9">
      <c r="C199" s="82" t="s">
        <v>1827</v>
      </c>
      <c r="D199" s="81" t="s">
        <v>1857</v>
      </c>
      <c r="F199" s="82" t="s">
        <v>1319</v>
      </c>
      <c r="G199" s="84">
        <v>10.42</v>
      </c>
      <c r="H199" s="84">
        <v>10.33</v>
      </c>
      <c r="I199" s="81">
        <v>10.27</v>
      </c>
    </row>
    <row r="200" spans="3:9">
      <c r="C200" s="82" t="s">
        <v>1827</v>
      </c>
      <c r="D200" s="81" t="s">
        <v>1856</v>
      </c>
      <c r="F200" s="82" t="s">
        <v>1855</v>
      </c>
      <c r="G200" s="84">
        <v>10.42</v>
      </c>
      <c r="H200" s="84">
        <v>10.33</v>
      </c>
      <c r="I200" s="81">
        <v>10.27</v>
      </c>
    </row>
    <row r="201" spans="3:9">
      <c r="C201" s="82" t="s">
        <v>1827</v>
      </c>
      <c r="D201" s="81" t="s">
        <v>1854</v>
      </c>
      <c r="F201" s="82" t="s">
        <v>1308</v>
      </c>
      <c r="G201" s="84">
        <v>10.42</v>
      </c>
      <c r="H201" s="84">
        <v>10.33</v>
      </c>
      <c r="I201" s="81">
        <v>10.27</v>
      </c>
    </row>
    <row r="202" spans="3:9">
      <c r="C202" s="82" t="s">
        <v>1827</v>
      </c>
      <c r="D202" s="81" t="s">
        <v>1853</v>
      </c>
      <c r="F202" s="82" t="s">
        <v>1123</v>
      </c>
      <c r="G202" s="84">
        <v>10.42</v>
      </c>
      <c r="H202" s="84">
        <v>10.33</v>
      </c>
      <c r="I202" s="81">
        <v>10.27</v>
      </c>
    </row>
    <row r="203" spans="3:9">
      <c r="C203" s="82" t="s">
        <v>1827</v>
      </c>
      <c r="D203" s="81" t="s">
        <v>1852</v>
      </c>
      <c r="F203" s="82" t="s">
        <v>1080</v>
      </c>
      <c r="G203" s="84">
        <v>10.42</v>
      </c>
      <c r="H203" s="84">
        <v>10.33</v>
      </c>
      <c r="I203" s="81">
        <v>10.27</v>
      </c>
    </row>
    <row r="204" spans="3:9">
      <c r="C204" s="82" t="s">
        <v>1827</v>
      </c>
      <c r="D204" s="81" t="s">
        <v>1851</v>
      </c>
      <c r="F204" s="82" t="s">
        <v>1042</v>
      </c>
      <c r="G204" s="84">
        <v>10.42</v>
      </c>
      <c r="H204" s="84">
        <v>10.33</v>
      </c>
      <c r="I204" s="81">
        <v>10.27</v>
      </c>
    </row>
    <row r="205" spans="3:9">
      <c r="C205" s="82" t="s">
        <v>1827</v>
      </c>
      <c r="D205" s="81" t="s">
        <v>1850</v>
      </c>
      <c r="F205" s="82" t="s">
        <v>1041</v>
      </c>
      <c r="G205" s="84">
        <v>10.42</v>
      </c>
      <c r="H205" s="84">
        <v>10.33</v>
      </c>
      <c r="I205" s="81">
        <v>10.27</v>
      </c>
    </row>
    <row r="206" spans="3:9">
      <c r="C206" s="82" t="s">
        <v>1827</v>
      </c>
      <c r="D206" s="81" t="s">
        <v>1849</v>
      </c>
      <c r="F206" s="82" t="s">
        <v>1848</v>
      </c>
      <c r="G206" s="84">
        <v>10.42</v>
      </c>
      <c r="H206" s="84">
        <v>10.33</v>
      </c>
      <c r="I206" s="81">
        <v>10.27</v>
      </c>
    </row>
    <row r="207" spans="3:9">
      <c r="C207" s="82" t="s">
        <v>1827</v>
      </c>
      <c r="D207" s="81" t="s">
        <v>1847</v>
      </c>
      <c r="F207" s="82" t="s">
        <v>1038</v>
      </c>
      <c r="G207" s="84">
        <v>10.42</v>
      </c>
      <c r="H207" s="84">
        <v>10.33</v>
      </c>
      <c r="I207" s="81">
        <v>10.27</v>
      </c>
    </row>
    <row r="208" spans="3:9">
      <c r="C208" s="82" t="s">
        <v>1827</v>
      </c>
      <c r="D208" s="81" t="s">
        <v>1846</v>
      </c>
      <c r="F208" s="82" t="s">
        <v>1036</v>
      </c>
      <c r="G208" s="84">
        <v>10.42</v>
      </c>
      <c r="H208" s="84">
        <v>10.33</v>
      </c>
      <c r="I208" s="81">
        <v>10.27</v>
      </c>
    </row>
    <row r="209" spans="3:9">
      <c r="C209" s="82" t="s">
        <v>1827</v>
      </c>
      <c r="D209" s="81" t="s">
        <v>1845</v>
      </c>
      <c r="F209" s="82" t="s">
        <v>1035</v>
      </c>
      <c r="G209" s="84">
        <v>10.42</v>
      </c>
      <c r="H209" s="84">
        <v>10.33</v>
      </c>
      <c r="I209" s="81">
        <v>10.27</v>
      </c>
    </row>
    <row r="210" spans="3:9">
      <c r="C210" s="82" t="s">
        <v>1827</v>
      </c>
      <c r="D210" s="81" t="s">
        <v>1844</v>
      </c>
      <c r="F210" s="82" t="s">
        <v>1032</v>
      </c>
      <c r="G210" s="84">
        <v>10.42</v>
      </c>
      <c r="H210" s="84">
        <v>10.33</v>
      </c>
      <c r="I210" s="81">
        <v>10.27</v>
      </c>
    </row>
    <row r="211" spans="3:9">
      <c r="C211" s="82" t="s">
        <v>1827</v>
      </c>
      <c r="D211" s="81" t="s">
        <v>1843</v>
      </c>
      <c r="F211" s="82" t="s">
        <v>1031</v>
      </c>
      <c r="G211" s="84">
        <v>10.42</v>
      </c>
      <c r="H211" s="84">
        <v>10.33</v>
      </c>
      <c r="I211" s="81">
        <v>10.27</v>
      </c>
    </row>
    <row r="212" spans="3:9">
      <c r="C212" s="82" t="s">
        <v>1827</v>
      </c>
      <c r="D212" s="81" t="s">
        <v>1842</v>
      </c>
      <c r="F212" s="82" t="s">
        <v>1029</v>
      </c>
      <c r="G212" s="84">
        <v>10.42</v>
      </c>
      <c r="H212" s="84">
        <v>10.33</v>
      </c>
      <c r="I212" s="81">
        <v>10.27</v>
      </c>
    </row>
    <row r="213" spans="3:9">
      <c r="C213" s="82" t="s">
        <v>1827</v>
      </c>
      <c r="D213" s="81" t="s">
        <v>1841</v>
      </c>
      <c r="F213" s="82" t="s">
        <v>1027</v>
      </c>
      <c r="G213" s="84">
        <v>10.42</v>
      </c>
      <c r="H213" s="84">
        <v>10.33</v>
      </c>
      <c r="I213" s="81">
        <v>10.27</v>
      </c>
    </row>
    <row r="214" spans="3:9">
      <c r="C214" s="82" t="s">
        <v>1827</v>
      </c>
      <c r="D214" s="81" t="s">
        <v>1840</v>
      </c>
      <c r="F214" s="82" t="s">
        <v>1025</v>
      </c>
      <c r="G214" s="84">
        <v>10.42</v>
      </c>
      <c r="H214" s="84">
        <v>10.33</v>
      </c>
      <c r="I214" s="81">
        <v>10.27</v>
      </c>
    </row>
    <row r="215" spans="3:9">
      <c r="C215" s="82" t="s">
        <v>1827</v>
      </c>
      <c r="D215" s="81" t="s">
        <v>1839</v>
      </c>
      <c r="F215" s="82" t="s">
        <v>1019</v>
      </c>
      <c r="G215" s="84">
        <v>10.42</v>
      </c>
      <c r="H215" s="84">
        <v>10.33</v>
      </c>
      <c r="I215" s="81">
        <v>10.27</v>
      </c>
    </row>
    <row r="216" spans="3:9">
      <c r="C216" s="82" t="s">
        <v>1827</v>
      </c>
      <c r="D216" s="81" t="s">
        <v>1838</v>
      </c>
      <c r="F216" s="82" t="s">
        <v>1017</v>
      </c>
      <c r="G216" s="84">
        <v>10.42</v>
      </c>
      <c r="H216" s="84">
        <v>10.33</v>
      </c>
      <c r="I216" s="81">
        <v>10.27</v>
      </c>
    </row>
    <row r="217" spans="3:9">
      <c r="C217" s="82" t="s">
        <v>1827</v>
      </c>
      <c r="D217" s="81" t="s">
        <v>1837</v>
      </c>
      <c r="F217" s="82" t="s">
        <v>1015</v>
      </c>
      <c r="G217" s="84">
        <v>10.42</v>
      </c>
      <c r="H217" s="84">
        <v>10.33</v>
      </c>
      <c r="I217" s="81">
        <v>10.27</v>
      </c>
    </row>
    <row r="218" spans="3:9">
      <c r="C218" s="82" t="s">
        <v>1827</v>
      </c>
      <c r="D218" s="81" t="s">
        <v>1836</v>
      </c>
      <c r="F218" s="82" t="s">
        <v>1013</v>
      </c>
      <c r="G218" s="84">
        <v>10.42</v>
      </c>
      <c r="H218" s="84">
        <v>10.33</v>
      </c>
      <c r="I218" s="81">
        <v>10.27</v>
      </c>
    </row>
    <row r="219" spans="3:9">
      <c r="C219" s="82" t="s">
        <v>1827</v>
      </c>
      <c r="D219" s="81" t="s">
        <v>1835</v>
      </c>
      <c r="F219" s="82" t="s">
        <v>1834</v>
      </c>
      <c r="G219" s="84">
        <v>10.42</v>
      </c>
      <c r="H219" s="84">
        <v>10.33</v>
      </c>
      <c r="I219" s="81">
        <v>10.27</v>
      </c>
    </row>
    <row r="220" spans="3:9">
      <c r="C220" s="82" t="s">
        <v>1827</v>
      </c>
      <c r="D220" s="81" t="s">
        <v>1833</v>
      </c>
      <c r="F220" s="82" t="s">
        <v>1011</v>
      </c>
      <c r="G220" s="84">
        <v>10.42</v>
      </c>
      <c r="H220" s="84">
        <v>10.33</v>
      </c>
      <c r="I220" s="81">
        <v>10.27</v>
      </c>
    </row>
    <row r="221" spans="3:9">
      <c r="C221" s="82" t="s">
        <v>1827</v>
      </c>
      <c r="D221" s="81" t="s">
        <v>1832</v>
      </c>
      <c r="F221" s="82" t="s">
        <v>1010</v>
      </c>
      <c r="G221" s="84">
        <v>10.42</v>
      </c>
      <c r="H221" s="84">
        <v>10.33</v>
      </c>
      <c r="I221" s="81">
        <v>10.27</v>
      </c>
    </row>
    <row r="222" spans="3:9">
      <c r="C222" s="82" t="s">
        <v>1827</v>
      </c>
      <c r="D222" s="81" t="s">
        <v>1831</v>
      </c>
      <c r="F222" s="82" t="s">
        <v>1008</v>
      </c>
      <c r="G222" s="84">
        <v>10.42</v>
      </c>
      <c r="H222" s="84">
        <v>10.33</v>
      </c>
      <c r="I222" s="81">
        <v>10.27</v>
      </c>
    </row>
    <row r="223" spans="3:9">
      <c r="C223" s="82" t="s">
        <v>1827</v>
      </c>
      <c r="D223" s="81" t="s">
        <v>1830</v>
      </c>
      <c r="F223" s="82" t="s">
        <v>1007</v>
      </c>
      <c r="G223" s="84">
        <v>10.42</v>
      </c>
      <c r="H223" s="84">
        <v>10.33</v>
      </c>
      <c r="I223" s="81">
        <v>10.27</v>
      </c>
    </row>
    <row r="224" spans="3:9">
      <c r="C224" s="82" t="s">
        <v>1827</v>
      </c>
      <c r="D224" s="81" t="s">
        <v>1829</v>
      </c>
      <c r="F224" s="82" t="s">
        <v>1006</v>
      </c>
      <c r="G224" s="84">
        <v>10.42</v>
      </c>
      <c r="H224" s="84">
        <v>10.33</v>
      </c>
      <c r="I224" s="81">
        <v>10.27</v>
      </c>
    </row>
    <row r="225" spans="3:9">
      <c r="C225" s="82" t="s">
        <v>1827</v>
      </c>
      <c r="D225" s="81" t="s">
        <v>745</v>
      </c>
      <c r="F225" s="82" t="s">
        <v>1002</v>
      </c>
      <c r="G225" s="84">
        <v>10.42</v>
      </c>
      <c r="H225" s="84">
        <v>10.33</v>
      </c>
      <c r="I225" s="81">
        <v>10.27</v>
      </c>
    </row>
    <row r="226" spans="3:9">
      <c r="C226" s="82" t="s">
        <v>1827</v>
      </c>
      <c r="D226" s="81" t="s">
        <v>1828</v>
      </c>
      <c r="F226" s="82" t="s">
        <v>1001</v>
      </c>
      <c r="G226" s="84">
        <v>10.42</v>
      </c>
      <c r="H226" s="84">
        <v>10.33</v>
      </c>
      <c r="I226" s="81">
        <v>10.27</v>
      </c>
    </row>
    <row r="227" spans="3:9">
      <c r="C227" s="82" t="s">
        <v>1827</v>
      </c>
      <c r="D227" s="81" t="s">
        <v>1826</v>
      </c>
      <c r="F227" s="82" t="s">
        <v>1825</v>
      </c>
      <c r="G227" s="84">
        <v>10.42</v>
      </c>
      <c r="H227" s="84">
        <v>10.33</v>
      </c>
      <c r="I227" s="81">
        <v>10.27</v>
      </c>
    </row>
    <row r="228" spans="3:9">
      <c r="C228" s="82" t="s">
        <v>1791</v>
      </c>
      <c r="D228" s="81" t="s">
        <v>1824</v>
      </c>
      <c r="F228" s="82" t="s">
        <v>1823</v>
      </c>
      <c r="G228" s="84">
        <v>10.42</v>
      </c>
      <c r="H228" s="84">
        <v>10.33</v>
      </c>
      <c r="I228" s="81">
        <v>10.27</v>
      </c>
    </row>
    <row r="229" spans="3:9">
      <c r="C229" s="82" t="s">
        <v>1791</v>
      </c>
      <c r="D229" s="81" t="s">
        <v>1822</v>
      </c>
      <c r="F229" s="82" t="s">
        <v>990</v>
      </c>
      <c r="G229" s="84">
        <v>10.42</v>
      </c>
      <c r="H229" s="84">
        <v>10.33</v>
      </c>
      <c r="I229" s="81">
        <v>10.27</v>
      </c>
    </row>
    <row r="230" spans="3:9">
      <c r="C230" s="82" t="s">
        <v>1791</v>
      </c>
      <c r="D230" s="81" t="s">
        <v>1821</v>
      </c>
      <c r="F230" s="82" t="s">
        <v>989</v>
      </c>
      <c r="G230" s="84">
        <v>10.42</v>
      </c>
      <c r="H230" s="84">
        <v>10.33</v>
      </c>
      <c r="I230" s="81">
        <v>10.27</v>
      </c>
    </row>
    <row r="231" spans="3:9">
      <c r="C231" s="82" t="s">
        <v>1791</v>
      </c>
      <c r="D231" s="81" t="s">
        <v>1820</v>
      </c>
      <c r="F231" s="82" t="s">
        <v>986</v>
      </c>
      <c r="G231" s="84">
        <v>10.42</v>
      </c>
      <c r="H231" s="84">
        <v>10.33</v>
      </c>
      <c r="I231" s="81">
        <v>10.27</v>
      </c>
    </row>
    <row r="232" spans="3:9">
      <c r="C232" s="82" t="s">
        <v>1791</v>
      </c>
      <c r="D232" s="81" t="s">
        <v>1819</v>
      </c>
      <c r="F232" s="82" t="s">
        <v>985</v>
      </c>
      <c r="G232" s="84">
        <v>10.42</v>
      </c>
      <c r="H232" s="84">
        <v>10.33</v>
      </c>
      <c r="I232" s="81">
        <v>10.27</v>
      </c>
    </row>
    <row r="233" spans="3:9">
      <c r="C233" s="82" t="s">
        <v>1791</v>
      </c>
      <c r="D233" s="81" t="s">
        <v>1818</v>
      </c>
      <c r="F233" s="82" t="s">
        <v>982</v>
      </c>
      <c r="G233" s="84">
        <v>10.42</v>
      </c>
      <c r="H233" s="84">
        <v>10.33</v>
      </c>
      <c r="I233" s="81">
        <v>10.27</v>
      </c>
    </row>
    <row r="234" spans="3:9">
      <c r="C234" s="82" t="s">
        <v>1791</v>
      </c>
      <c r="D234" s="81" t="s">
        <v>1817</v>
      </c>
      <c r="F234" s="82" t="s">
        <v>959</v>
      </c>
      <c r="G234" s="84">
        <v>10.42</v>
      </c>
      <c r="H234" s="84">
        <v>10.33</v>
      </c>
      <c r="I234" s="81">
        <v>10.27</v>
      </c>
    </row>
    <row r="235" spans="3:9">
      <c r="C235" s="82" t="s">
        <v>1791</v>
      </c>
      <c r="D235" s="81" t="s">
        <v>1816</v>
      </c>
      <c r="F235" s="82" t="s">
        <v>955</v>
      </c>
      <c r="G235" s="84">
        <v>10.42</v>
      </c>
      <c r="H235" s="84">
        <v>10.33</v>
      </c>
      <c r="I235" s="81">
        <v>10.27</v>
      </c>
    </row>
    <row r="236" spans="3:9">
      <c r="C236" s="82" t="s">
        <v>1791</v>
      </c>
      <c r="D236" s="81" t="s">
        <v>1815</v>
      </c>
      <c r="F236" s="82" t="s">
        <v>953</v>
      </c>
      <c r="G236" s="84">
        <v>10.42</v>
      </c>
      <c r="H236" s="84">
        <v>10.33</v>
      </c>
      <c r="I236" s="81">
        <v>10.27</v>
      </c>
    </row>
    <row r="237" spans="3:9">
      <c r="C237" s="82" t="s">
        <v>1791</v>
      </c>
      <c r="D237" s="81" t="s">
        <v>1814</v>
      </c>
      <c r="F237" s="82" t="s">
        <v>937</v>
      </c>
      <c r="G237" s="84">
        <v>10.42</v>
      </c>
      <c r="H237" s="84">
        <v>10.33</v>
      </c>
      <c r="I237" s="81">
        <v>10.27</v>
      </c>
    </row>
    <row r="238" spans="3:9">
      <c r="C238" s="82" t="s">
        <v>1791</v>
      </c>
      <c r="D238" s="81" t="s">
        <v>1813</v>
      </c>
      <c r="F238" s="82" t="s">
        <v>935</v>
      </c>
      <c r="G238" s="84">
        <v>10.42</v>
      </c>
      <c r="H238" s="84">
        <v>10.33</v>
      </c>
      <c r="I238" s="81">
        <v>10.27</v>
      </c>
    </row>
    <row r="239" spans="3:9">
      <c r="C239" s="82" t="s">
        <v>1791</v>
      </c>
      <c r="D239" s="81" t="s">
        <v>1812</v>
      </c>
      <c r="F239" s="82" t="s">
        <v>934</v>
      </c>
      <c r="G239" s="84">
        <v>10.42</v>
      </c>
      <c r="H239" s="84">
        <v>10.33</v>
      </c>
      <c r="I239" s="81">
        <v>10.27</v>
      </c>
    </row>
    <row r="240" spans="3:9">
      <c r="C240" s="82" t="s">
        <v>1791</v>
      </c>
      <c r="D240" s="81" t="s">
        <v>1811</v>
      </c>
      <c r="F240" s="82" t="s">
        <v>933</v>
      </c>
      <c r="G240" s="84">
        <v>10.42</v>
      </c>
      <c r="H240" s="84">
        <v>10.33</v>
      </c>
      <c r="I240" s="81">
        <v>10.27</v>
      </c>
    </row>
    <row r="241" spans="3:9">
      <c r="C241" s="82" t="s">
        <v>1791</v>
      </c>
      <c r="D241" s="81" t="s">
        <v>1810</v>
      </c>
      <c r="F241" s="82" t="s">
        <v>931</v>
      </c>
      <c r="G241" s="84">
        <v>10.42</v>
      </c>
      <c r="H241" s="84">
        <v>10.33</v>
      </c>
      <c r="I241" s="81">
        <v>10.27</v>
      </c>
    </row>
    <row r="242" spans="3:9">
      <c r="C242" s="82" t="s">
        <v>1791</v>
      </c>
      <c r="D242" s="81" t="s">
        <v>1809</v>
      </c>
      <c r="F242" s="82" t="s">
        <v>930</v>
      </c>
      <c r="G242" s="84">
        <v>10.42</v>
      </c>
      <c r="H242" s="84">
        <v>10.33</v>
      </c>
      <c r="I242" s="81">
        <v>10.27</v>
      </c>
    </row>
    <row r="243" spans="3:9">
      <c r="C243" s="82" t="s">
        <v>1791</v>
      </c>
      <c r="D243" s="81" t="s">
        <v>1808</v>
      </c>
      <c r="F243" s="82" t="s">
        <v>927</v>
      </c>
      <c r="G243" s="84">
        <v>10.42</v>
      </c>
      <c r="H243" s="84">
        <v>10.33</v>
      </c>
      <c r="I243" s="81">
        <v>10.27</v>
      </c>
    </row>
    <row r="244" spans="3:9">
      <c r="C244" s="82" t="s">
        <v>1791</v>
      </c>
      <c r="D244" s="81" t="s">
        <v>1807</v>
      </c>
      <c r="F244" s="82" t="s">
        <v>926</v>
      </c>
      <c r="G244" s="84">
        <v>10.42</v>
      </c>
      <c r="H244" s="84">
        <v>10.33</v>
      </c>
      <c r="I244" s="81">
        <v>10.27</v>
      </c>
    </row>
    <row r="245" spans="3:9">
      <c r="C245" s="82" t="s">
        <v>1791</v>
      </c>
      <c r="D245" s="81" t="s">
        <v>1806</v>
      </c>
      <c r="F245" s="82" t="s">
        <v>920</v>
      </c>
      <c r="G245" s="84">
        <v>10.42</v>
      </c>
      <c r="H245" s="84">
        <v>10.33</v>
      </c>
      <c r="I245" s="81">
        <v>10.27</v>
      </c>
    </row>
    <row r="246" spans="3:9">
      <c r="C246" s="82" t="s">
        <v>1791</v>
      </c>
      <c r="D246" s="81" t="s">
        <v>1805</v>
      </c>
      <c r="F246" s="82" t="s">
        <v>912</v>
      </c>
      <c r="G246" s="84">
        <v>10.42</v>
      </c>
      <c r="H246" s="84">
        <v>10.33</v>
      </c>
      <c r="I246" s="81">
        <v>10.27</v>
      </c>
    </row>
    <row r="247" spans="3:9">
      <c r="C247" s="82" t="s">
        <v>1791</v>
      </c>
      <c r="D247" s="81" t="s">
        <v>1804</v>
      </c>
      <c r="F247" s="82" t="s">
        <v>908</v>
      </c>
      <c r="G247" s="84">
        <v>10.42</v>
      </c>
      <c r="H247" s="84">
        <v>10.33</v>
      </c>
      <c r="I247" s="81">
        <v>10.27</v>
      </c>
    </row>
    <row r="248" spans="3:9">
      <c r="C248" s="82" t="s">
        <v>1791</v>
      </c>
      <c r="D248" s="81" t="s">
        <v>1803</v>
      </c>
      <c r="F248" s="82" t="s">
        <v>906</v>
      </c>
      <c r="G248" s="84">
        <v>10.42</v>
      </c>
      <c r="H248" s="84">
        <v>10.33</v>
      </c>
      <c r="I248" s="81">
        <v>10.27</v>
      </c>
    </row>
    <row r="249" spans="3:9">
      <c r="C249" s="82" t="s">
        <v>1791</v>
      </c>
      <c r="D249" s="81" t="s">
        <v>1802</v>
      </c>
      <c r="F249" s="82" t="s">
        <v>901</v>
      </c>
      <c r="G249" s="84">
        <v>10.42</v>
      </c>
      <c r="H249" s="84">
        <v>10.33</v>
      </c>
      <c r="I249" s="81">
        <v>10.27</v>
      </c>
    </row>
    <row r="250" spans="3:9">
      <c r="C250" s="82" t="s">
        <v>1791</v>
      </c>
      <c r="D250" s="81" t="s">
        <v>1801</v>
      </c>
      <c r="F250" s="82" t="s">
        <v>900</v>
      </c>
      <c r="G250" s="84">
        <v>10.42</v>
      </c>
      <c r="H250" s="84">
        <v>10.33</v>
      </c>
      <c r="I250" s="81">
        <v>10.27</v>
      </c>
    </row>
    <row r="251" spans="3:9">
      <c r="C251" s="82" t="s">
        <v>1791</v>
      </c>
      <c r="D251" s="81" t="s">
        <v>1800</v>
      </c>
      <c r="F251" s="82" t="s">
        <v>898</v>
      </c>
      <c r="G251" s="84">
        <v>10.42</v>
      </c>
      <c r="H251" s="84">
        <v>10.33</v>
      </c>
      <c r="I251" s="81">
        <v>10.27</v>
      </c>
    </row>
    <row r="252" spans="3:9">
      <c r="C252" s="82" t="s">
        <v>1791</v>
      </c>
      <c r="D252" s="81" t="s">
        <v>1799</v>
      </c>
      <c r="F252" s="82" t="s">
        <v>895</v>
      </c>
      <c r="G252" s="84">
        <v>10.42</v>
      </c>
      <c r="H252" s="84">
        <v>10.33</v>
      </c>
      <c r="I252" s="81">
        <v>10.27</v>
      </c>
    </row>
    <row r="253" spans="3:9">
      <c r="C253" s="82" t="s">
        <v>1791</v>
      </c>
      <c r="D253" s="81" t="s">
        <v>1798</v>
      </c>
      <c r="F253" s="82" t="s">
        <v>893</v>
      </c>
      <c r="G253" s="84">
        <v>10.42</v>
      </c>
      <c r="H253" s="84">
        <v>10.33</v>
      </c>
      <c r="I253" s="81">
        <v>10.27</v>
      </c>
    </row>
    <row r="254" spans="3:9">
      <c r="C254" s="82" t="s">
        <v>1791</v>
      </c>
      <c r="D254" s="81" t="s">
        <v>1797</v>
      </c>
      <c r="F254" s="82" t="s">
        <v>892</v>
      </c>
      <c r="G254" s="84">
        <v>10.42</v>
      </c>
      <c r="H254" s="84">
        <v>10.33</v>
      </c>
      <c r="I254" s="81">
        <v>10.27</v>
      </c>
    </row>
    <row r="255" spans="3:9">
      <c r="C255" s="82" t="s">
        <v>1791</v>
      </c>
      <c r="D255" s="81" t="s">
        <v>1796</v>
      </c>
      <c r="F255" s="82" t="s">
        <v>888</v>
      </c>
      <c r="G255" s="84">
        <v>10.42</v>
      </c>
      <c r="H255" s="84">
        <v>10.33</v>
      </c>
      <c r="I255" s="81">
        <v>10.27</v>
      </c>
    </row>
    <row r="256" spans="3:9">
      <c r="C256" s="82" t="s">
        <v>1791</v>
      </c>
      <c r="D256" s="81" t="s">
        <v>1795</v>
      </c>
      <c r="F256" s="82" t="s">
        <v>886</v>
      </c>
      <c r="G256" s="84">
        <v>10.42</v>
      </c>
      <c r="H256" s="84">
        <v>10.33</v>
      </c>
      <c r="I256" s="81">
        <v>10.27</v>
      </c>
    </row>
    <row r="257" spans="3:9">
      <c r="C257" s="82" t="s">
        <v>1791</v>
      </c>
      <c r="D257" s="81" t="s">
        <v>1794</v>
      </c>
      <c r="F257" s="82" t="s">
        <v>883</v>
      </c>
      <c r="G257" s="84">
        <v>10.42</v>
      </c>
      <c r="H257" s="84">
        <v>10.33</v>
      </c>
      <c r="I257" s="81">
        <v>10.27</v>
      </c>
    </row>
    <row r="258" spans="3:9">
      <c r="C258" s="82" t="s">
        <v>1791</v>
      </c>
      <c r="D258" s="81" t="s">
        <v>1793</v>
      </c>
      <c r="F258" s="82" t="s">
        <v>882</v>
      </c>
      <c r="G258" s="84">
        <v>10.42</v>
      </c>
      <c r="H258" s="84">
        <v>10.33</v>
      </c>
      <c r="I258" s="81">
        <v>10.27</v>
      </c>
    </row>
    <row r="259" spans="3:9">
      <c r="C259" s="82" t="s">
        <v>1791</v>
      </c>
      <c r="D259" s="81" t="s">
        <v>1792</v>
      </c>
      <c r="F259" s="82" t="s">
        <v>881</v>
      </c>
      <c r="G259" s="84">
        <v>10.42</v>
      </c>
      <c r="H259" s="84">
        <v>10.33</v>
      </c>
      <c r="I259" s="81">
        <v>10.27</v>
      </c>
    </row>
    <row r="260" spans="3:9">
      <c r="C260" s="82" t="s">
        <v>1791</v>
      </c>
      <c r="D260" s="81" t="s">
        <v>1790</v>
      </c>
      <c r="F260" s="82" t="s">
        <v>880</v>
      </c>
      <c r="G260" s="84">
        <v>10.42</v>
      </c>
      <c r="H260" s="84">
        <v>10.33</v>
      </c>
      <c r="I260" s="81">
        <v>10.27</v>
      </c>
    </row>
    <row r="261" spans="3:9">
      <c r="C261" s="82" t="s">
        <v>1755</v>
      </c>
      <c r="D261" s="81" t="s">
        <v>1789</v>
      </c>
      <c r="F261" s="82" t="s">
        <v>879</v>
      </c>
      <c r="G261" s="84">
        <v>10.42</v>
      </c>
      <c r="H261" s="84">
        <v>10.33</v>
      </c>
      <c r="I261" s="81">
        <v>10.27</v>
      </c>
    </row>
    <row r="262" spans="3:9">
      <c r="C262" s="82" t="s">
        <v>1755</v>
      </c>
      <c r="D262" s="81" t="s">
        <v>1788</v>
      </c>
      <c r="F262" s="82" t="s">
        <v>878</v>
      </c>
      <c r="G262" s="84">
        <v>10.42</v>
      </c>
      <c r="H262" s="84">
        <v>10.33</v>
      </c>
      <c r="I262" s="81">
        <v>10.27</v>
      </c>
    </row>
    <row r="263" spans="3:9">
      <c r="C263" s="82" t="s">
        <v>1755</v>
      </c>
      <c r="D263" s="81" t="s">
        <v>1787</v>
      </c>
      <c r="F263" s="82" t="s">
        <v>877</v>
      </c>
      <c r="G263" s="84">
        <v>10.42</v>
      </c>
      <c r="H263" s="84">
        <v>10.33</v>
      </c>
      <c r="I263" s="81">
        <v>10.27</v>
      </c>
    </row>
    <row r="264" spans="3:9">
      <c r="C264" s="82" t="s">
        <v>1755</v>
      </c>
      <c r="D264" s="81" t="s">
        <v>1786</v>
      </c>
      <c r="F264" s="82" t="s">
        <v>876</v>
      </c>
      <c r="G264" s="84">
        <v>10.42</v>
      </c>
      <c r="H264" s="84">
        <v>10.33</v>
      </c>
      <c r="I264" s="81">
        <v>10.27</v>
      </c>
    </row>
    <row r="265" spans="3:9">
      <c r="C265" s="82" t="s">
        <v>1755</v>
      </c>
      <c r="D265" s="81" t="s">
        <v>1785</v>
      </c>
      <c r="F265" s="82" t="s">
        <v>875</v>
      </c>
      <c r="G265" s="84">
        <v>10.42</v>
      </c>
      <c r="H265" s="84">
        <v>10.33</v>
      </c>
      <c r="I265" s="81">
        <v>10.27</v>
      </c>
    </row>
    <row r="266" spans="3:9">
      <c r="C266" s="82" t="s">
        <v>1755</v>
      </c>
      <c r="D266" s="81" t="s">
        <v>1784</v>
      </c>
      <c r="F266" s="82" t="s">
        <v>835</v>
      </c>
      <c r="G266" s="84">
        <v>10.42</v>
      </c>
      <c r="H266" s="84">
        <v>10.33</v>
      </c>
      <c r="I266" s="81">
        <v>10.27</v>
      </c>
    </row>
    <row r="267" spans="3:9">
      <c r="C267" s="82" t="s">
        <v>1755</v>
      </c>
      <c r="D267" s="81" t="s">
        <v>1783</v>
      </c>
      <c r="F267" s="82" t="s">
        <v>874</v>
      </c>
      <c r="G267" s="84">
        <v>10.42</v>
      </c>
      <c r="H267" s="84">
        <v>10.33</v>
      </c>
      <c r="I267" s="81">
        <v>10.27</v>
      </c>
    </row>
    <row r="268" spans="3:9">
      <c r="C268" s="82" t="s">
        <v>1755</v>
      </c>
      <c r="D268" s="81" t="s">
        <v>1782</v>
      </c>
      <c r="F268" s="82" t="s">
        <v>872</v>
      </c>
      <c r="G268" s="84">
        <v>10.42</v>
      </c>
      <c r="H268" s="84">
        <v>10.33</v>
      </c>
      <c r="I268" s="81">
        <v>10.27</v>
      </c>
    </row>
    <row r="269" spans="3:9">
      <c r="C269" s="82" t="s">
        <v>1755</v>
      </c>
      <c r="D269" s="81" t="s">
        <v>1781</v>
      </c>
      <c r="F269" s="82" t="s">
        <v>868</v>
      </c>
      <c r="G269" s="84">
        <v>10.42</v>
      </c>
      <c r="H269" s="84">
        <v>10.33</v>
      </c>
      <c r="I269" s="81">
        <v>10.27</v>
      </c>
    </row>
    <row r="270" spans="3:9">
      <c r="C270" s="82" t="s">
        <v>1755</v>
      </c>
      <c r="D270" s="81" t="s">
        <v>1780</v>
      </c>
      <c r="F270" s="82" t="s">
        <v>842</v>
      </c>
      <c r="G270" s="84">
        <v>10.42</v>
      </c>
      <c r="H270" s="84">
        <v>10.33</v>
      </c>
      <c r="I270" s="81">
        <v>10.27</v>
      </c>
    </row>
    <row r="271" spans="3:9">
      <c r="C271" s="82" t="s">
        <v>1755</v>
      </c>
      <c r="D271" s="81" t="s">
        <v>1779</v>
      </c>
      <c r="F271" s="82" t="s">
        <v>829</v>
      </c>
      <c r="G271" s="84">
        <v>10.42</v>
      </c>
      <c r="H271" s="84">
        <v>10.33</v>
      </c>
      <c r="I271" s="81">
        <v>10.27</v>
      </c>
    </row>
    <row r="272" spans="3:9">
      <c r="C272" s="82" t="s">
        <v>1755</v>
      </c>
      <c r="D272" s="81" t="s">
        <v>1778</v>
      </c>
      <c r="F272" s="82" t="s">
        <v>827</v>
      </c>
      <c r="G272" s="84">
        <v>10.42</v>
      </c>
      <c r="H272" s="84">
        <v>10.33</v>
      </c>
      <c r="I272" s="81">
        <v>10.27</v>
      </c>
    </row>
    <row r="273" spans="3:9">
      <c r="C273" s="82" t="s">
        <v>1755</v>
      </c>
      <c r="D273" s="81" t="s">
        <v>1777</v>
      </c>
      <c r="F273" s="82" t="s">
        <v>821</v>
      </c>
      <c r="G273" s="84">
        <v>10.42</v>
      </c>
      <c r="H273" s="84">
        <v>10.33</v>
      </c>
      <c r="I273" s="81">
        <v>10.27</v>
      </c>
    </row>
    <row r="274" spans="3:9">
      <c r="C274" s="82" t="s">
        <v>1755</v>
      </c>
      <c r="D274" s="81" t="s">
        <v>1776</v>
      </c>
      <c r="F274" s="82" t="s">
        <v>789</v>
      </c>
      <c r="G274" s="84">
        <v>10.42</v>
      </c>
      <c r="H274" s="84">
        <v>10.33</v>
      </c>
      <c r="I274" s="81">
        <v>10.27</v>
      </c>
    </row>
    <row r="275" spans="3:9">
      <c r="C275" s="82" t="s">
        <v>1755</v>
      </c>
      <c r="D275" s="81" t="s">
        <v>1775</v>
      </c>
      <c r="F275" s="82" t="s">
        <v>787</v>
      </c>
      <c r="G275" s="84">
        <v>10.42</v>
      </c>
      <c r="H275" s="84">
        <v>10.33</v>
      </c>
      <c r="I275" s="81">
        <v>10.27</v>
      </c>
    </row>
    <row r="276" spans="3:9">
      <c r="C276" s="82" t="s">
        <v>1755</v>
      </c>
      <c r="D276" s="81" t="s">
        <v>1774</v>
      </c>
      <c r="F276" s="82" t="s">
        <v>532</v>
      </c>
      <c r="G276" s="84">
        <v>10.42</v>
      </c>
      <c r="H276" s="84">
        <v>10.33</v>
      </c>
      <c r="I276" s="81">
        <v>10.27</v>
      </c>
    </row>
    <row r="277" spans="3:9">
      <c r="C277" s="82" t="s">
        <v>1755</v>
      </c>
      <c r="D277" s="81" t="s">
        <v>1773</v>
      </c>
      <c r="F277" s="82" t="s">
        <v>530</v>
      </c>
      <c r="G277" s="84">
        <v>10.42</v>
      </c>
      <c r="H277" s="84">
        <v>10.33</v>
      </c>
      <c r="I277" s="81">
        <v>10.27</v>
      </c>
    </row>
    <row r="278" spans="3:9">
      <c r="C278" s="82" t="s">
        <v>1755</v>
      </c>
      <c r="D278" s="81" t="s">
        <v>1772</v>
      </c>
      <c r="F278" s="82" t="s">
        <v>528</v>
      </c>
      <c r="G278" s="84">
        <v>10.42</v>
      </c>
      <c r="H278" s="84">
        <v>10.33</v>
      </c>
      <c r="I278" s="81">
        <v>10.27</v>
      </c>
    </row>
    <row r="279" spans="3:9">
      <c r="C279" s="82" t="s">
        <v>1755</v>
      </c>
      <c r="D279" s="81" t="s">
        <v>1771</v>
      </c>
      <c r="F279" s="82" t="s">
        <v>522</v>
      </c>
      <c r="G279" s="84">
        <v>10.42</v>
      </c>
      <c r="H279" s="84">
        <v>10.33</v>
      </c>
      <c r="I279" s="81">
        <v>10.27</v>
      </c>
    </row>
    <row r="280" spans="3:9">
      <c r="C280" s="82" t="s">
        <v>1755</v>
      </c>
      <c r="D280" s="81" t="s">
        <v>497</v>
      </c>
      <c r="F280" s="82" t="s">
        <v>1770</v>
      </c>
      <c r="G280" s="84">
        <v>10.42</v>
      </c>
      <c r="H280" s="84">
        <v>10.33</v>
      </c>
      <c r="I280" s="81">
        <v>10.27</v>
      </c>
    </row>
    <row r="281" spans="3:9">
      <c r="C281" s="82" t="s">
        <v>1755</v>
      </c>
      <c r="D281" s="81" t="s">
        <v>1769</v>
      </c>
      <c r="F281" s="82" t="s">
        <v>513</v>
      </c>
      <c r="G281" s="84">
        <v>10.42</v>
      </c>
      <c r="H281" s="84">
        <v>10.33</v>
      </c>
      <c r="I281" s="81">
        <v>10.27</v>
      </c>
    </row>
    <row r="282" spans="3:9">
      <c r="C282" s="82" t="s">
        <v>1755</v>
      </c>
      <c r="D282" s="81" t="s">
        <v>1768</v>
      </c>
      <c r="F282" s="82" t="s">
        <v>1767</v>
      </c>
      <c r="G282" s="84">
        <v>10.210000000000001</v>
      </c>
      <c r="H282" s="84">
        <v>10.17</v>
      </c>
      <c r="I282" s="81">
        <v>10.14</v>
      </c>
    </row>
    <row r="283" spans="3:9">
      <c r="C283" s="82" t="s">
        <v>1755</v>
      </c>
      <c r="D283" s="81" t="s">
        <v>1766</v>
      </c>
      <c r="F283" s="82" t="s">
        <v>1619</v>
      </c>
      <c r="G283" s="84">
        <v>10.210000000000001</v>
      </c>
      <c r="H283" s="84">
        <v>10.17</v>
      </c>
      <c r="I283" s="81">
        <v>10.14</v>
      </c>
    </row>
    <row r="284" spans="3:9">
      <c r="C284" s="82" t="s">
        <v>1755</v>
      </c>
      <c r="D284" s="81" t="s">
        <v>1765</v>
      </c>
      <c r="F284" s="82" t="s">
        <v>1617</v>
      </c>
      <c r="G284" s="84">
        <v>10.210000000000001</v>
      </c>
      <c r="H284" s="84">
        <v>10.17</v>
      </c>
      <c r="I284" s="81">
        <v>10.14</v>
      </c>
    </row>
    <row r="285" spans="3:9">
      <c r="C285" s="82" t="s">
        <v>1755</v>
      </c>
      <c r="D285" s="81" t="s">
        <v>1764</v>
      </c>
      <c r="F285" s="82" t="s">
        <v>1616</v>
      </c>
      <c r="G285" s="84">
        <v>10.210000000000001</v>
      </c>
      <c r="H285" s="84">
        <v>10.17</v>
      </c>
      <c r="I285" s="81">
        <v>10.14</v>
      </c>
    </row>
    <row r="286" spans="3:9">
      <c r="C286" s="82" t="s">
        <v>1755</v>
      </c>
      <c r="D286" s="81" t="s">
        <v>1763</v>
      </c>
      <c r="F286" s="82" t="s">
        <v>1612</v>
      </c>
      <c r="G286" s="84">
        <v>10.210000000000001</v>
      </c>
      <c r="H286" s="84">
        <v>10.17</v>
      </c>
      <c r="I286" s="81">
        <v>10.14</v>
      </c>
    </row>
    <row r="287" spans="3:9">
      <c r="C287" s="82" t="s">
        <v>1755</v>
      </c>
      <c r="D287" s="81" t="s">
        <v>1762</v>
      </c>
      <c r="F287" s="82" t="s">
        <v>1608</v>
      </c>
      <c r="G287" s="84">
        <v>10.210000000000001</v>
      </c>
      <c r="H287" s="84">
        <v>10.17</v>
      </c>
      <c r="I287" s="81">
        <v>10.14</v>
      </c>
    </row>
    <row r="288" spans="3:9">
      <c r="C288" s="82" t="s">
        <v>1755</v>
      </c>
      <c r="D288" s="81" t="s">
        <v>1761</v>
      </c>
      <c r="F288" s="82" t="s">
        <v>1603</v>
      </c>
      <c r="G288" s="84">
        <v>10.210000000000001</v>
      </c>
      <c r="H288" s="84">
        <v>10.17</v>
      </c>
      <c r="I288" s="81">
        <v>10.14</v>
      </c>
    </row>
    <row r="289" spans="3:9">
      <c r="C289" s="82" t="s">
        <v>1755</v>
      </c>
      <c r="D289" s="81" t="s">
        <v>1760</v>
      </c>
      <c r="F289" s="82" t="s">
        <v>1602</v>
      </c>
      <c r="G289" s="84">
        <v>10.210000000000001</v>
      </c>
      <c r="H289" s="84">
        <v>10.17</v>
      </c>
      <c r="I289" s="81">
        <v>10.14</v>
      </c>
    </row>
    <row r="290" spans="3:9">
      <c r="C290" s="82" t="s">
        <v>1755</v>
      </c>
      <c r="D290" s="81" t="s">
        <v>1759</v>
      </c>
      <c r="F290" s="82" t="s">
        <v>1601</v>
      </c>
      <c r="G290" s="84">
        <v>10.210000000000001</v>
      </c>
      <c r="H290" s="84">
        <v>10.17</v>
      </c>
      <c r="I290" s="81">
        <v>10.14</v>
      </c>
    </row>
    <row r="291" spans="3:9">
      <c r="C291" s="82" t="s">
        <v>1755</v>
      </c>
      <c r="D291" s="81" t="s">
        <v>1758</v>
      </c>
      <c r="F291" s="82" t="s">
        <v>1600</v>
      </c>
      <c r="G291" s="84">
        <v>10.210000000000001</v>
      </c>
      <c r="H291" s="84">
        <v>10.17</v>
      </c>
      <c r="I291" s="81">
        <v>10.14</v>
      </c>
    </row>
    <row r="292" spans="3:9">
      <c r="C292" s="82" t="s">
        <v>1755</v>
      </c>
      <c r="D292" s="81" t="s">
        <v>1757</v>
      </c>
      <c r="F292" s="82" t="s">
        <v>1593</v>
      </c>
      <c r="G292" s="84">
        <v>10.210000000000001</v>
      </c>
      <c r="H292" s="84">
        <v>10.17</v>
      </c>
      <c r="I292" s="81">
        <v>10.14</v>
      </c>
    </row>
    <row r="293" spans="3:9">
      <c r="C293" s="82" t="s">
        <v>1755</v>
      </c>
      <c r="D293" s="81" t="s">
        <v>430</v>
      </c>
      <c r="F293" s="82" t="s">
        <v>1590</v>
      </c>
      <c r="G293" s="84">
        <v>10.210000000000001</v>
      </c>
      <c r="H293" s="84">
        <v>10.17</v>
      </c>
      <c r="I293" s="81">
        <v>10.14</v>
      </c>
    </row>
    <row r="294" spans="3:9">
      <c r="C294" s="82" t="s">
        <v>1755</v>
      </c>
      <c r="D294" s="81" t="s">
        <v>1756</v>
      </c>
      <c r="F294" s="82" t="s">
        <v>1585</v>
      </c>
      <c r="G294" s="84">
        <v>10.210000000000001</v>
      </c>
      <c r="H294" s="84">
        <v>10.17</v>
      </c>
      <c r="I294" s="81">
        <v>10.14</v>
      </c>
    </row>
    <row r="295" spans="3:9">
      <c r="C295" s="82" t="s">
        <v>1755</v>
      </c>
      <c r="D295" s="81" t="s">
        <v>1754</v>
      </c>
      <c r="F295" s="82" t="s">
        <v>1584</v>
      </c>
      <c r="G295" s="84">
        <v>10.210000000000001</v>
      </c>
      <c r="H295" s="84">
        <v>10.17</v>
      </c>
      <c r="I295" s="81">
        <v>10.14</v>
      </c>
    </row>
    <row r="296" spans="3:9">
      <c r="C296" s="82" t="s">
        <v>1728</v>
      </c>
      <c r="D296" s="81" t="s">
        <v>1753</v>
      </c>
      <c r="F296" s="82" t="s">
        <v>1583</v>
      </c>
      <c r="G296" s="84">
        <v>10.210000000000001</v>
      </c>
      <c r="H296" s="84">
        <v>10.17</v>
      </c>
      <c r="I296" s="81">
        <v>10.14</v>
      </c>
    </row>
    <row r="297" spans="3:9">
      <c r="C297" s="82" t="s">
        <v>1728</v>
      </c>
      <c r="D297" s="81" t="s">
        <v>1752</v>
      </c>
      <c r="F297" s="82" t="s">
        <v>1582</v>
      </c>
      <c r="G297" s="84">
        <v>10.210000000000001</v>
      </c>
      <c r="H297" s="84">
        <v>10.17</v>
      </c>
      <c r="I297" s="81">
        <v>10.14</v>
      </c>
    </row>
    <row r="298" spans="3:9">
      <c r="C298" s="82" t="s">
        <v>1728</v>
      </c>
      <c r="D298" s="81" t="s">
        <v>1751</v>
      </c>
      <c r="F298" s="82" t="s">
        <v>1581</v>
      </c>
      <c r="G298" s="84">
        <v>10.210000000000001</v>
      </c>
      <c r="H298" s="84">
        <v>10.17</v>
      </c>
      <c r="I298" s="81">
        <v>10.14</v>
      </c>
    </row>
    <row r="299" spans="3:9">
      <c r="C299" s="82" t="s">
        <v>1728</v>
      </c>
      <c r="D299" s="81" t="s">
        <v>1750</v>
      </c>
      <c r="F299" s="82" t="s">
        <v>1576</v>
      </c>
      <c r="G299" s="84">
        <v>10.210000000000001</v>
      </c>
      <c r="H299" s="84">
        <v>10.17</v>
      </c>
      <c r="I299" s="81">
        <v>10.14</v>
      </c>
    </row>
    <row r="300" spans="3:9">
      <c r="C300" s="82" t="s">
        <v>1728</v>
      </c>
      <c r="D300" s="81" t="s">
        <v>1749</v>
      </c>
      <c r="F300" s="82" t="s">
        <v>1574</v>
      </c>
      <c r="G300" s="84">
        <v>10.210000000000001</v>
      </c>
      <c r="H300" s="84">
        <v>10.17</v>
      </c>
      <c r="I300" s="81">
        <v>10.14</v>
      </c>
    </row>
    <row r="301" spans="3:9">
      <c r="C301" s="82" t="s">
        <v>1728</v>
      </c>
      <c r="D301" s="81" t="s">
        <v>1748</v>
      </c>
      <c r="F301" s="82" t="s">
        <v>1573</v>
      </c>
      <c r="G301" s="84">
        <v>10.210000000000001</v>
      </c>
      <c r="H301" s="84">
        <v>10.17</v>
      </c>
      <c r="I301" s="81">
        <v>10.14</v>
      </c>
    </row>
    <row r="302" spans="3:9">
      <c r="C302" s="82" t="s">
        <v>1728</v>
      </c>
      <c r="D302" s="81" t="s">
        <v>1747</v>
      </c>
      <c r="F302" s="82" t="s">
        <v>1572</v>
      </c>
      <c r="G302" s="84">
        <v>10.210000000000001</v>
      </c>
      <c r="H302" s="84">
        <v>10.17</v>
      </c>
      <c r="I302" s="81">
        <v>10.14</v>
      </c>
    </row>
    <row r="303" spans="3:9">
      <c r="C303" s="82" t="s">
        <v>1728</v>
      </c>
      <c r="D303" s="81" t="s">
        <v>1746</v>
      </c>
      <c r="F303" s="82" t="s">
        <v>1571</v>
      </c>
      <c r="G303" s="84">
        <v>10.210000000000001</v>
      </c>
      <c r="H303" s="84">
        <v>10.17</v>
      </c>
      <c r="I303" s="81">
        <v>10.14</v>
      </c>
    </row>
    <row r="304" spans="3:9">
      <c r="C304" s="82" t="s">
        <v>1728</v>
      </c>
      <c r="D304" s="81" t="s">
        <v>1745</v>
      </c>
      <c r="F304" s="82" t="s">
        <v>1570</v>
      </c>
      <c r="G304" s="84">
        <v>10.210000000000001</v>
      </c>
      <c r="H304" s="84">
        <v>10.17</v>
      </c>
      <c r="I304" s="81">
        <v>10.14</v>
      </c>
    </row>
    <row r="305" spans="3:9">
      <c r="C305" s="82" t="s">
        <v>1728</v>
      </c>
      <c r="D305" s="81" t="s">
        <v>1744</v>
      </c>
      <c r="F305" s="82" t="s">
        <v>1567</v>
      </c>
      <c r="G305" s="84">
        <v>10.210000000000001</v>
      </c>
      <c r="H305" s="84">
        <v>10.17</v>
      </c>
      <c r="I305" s="81">
        <v>10.14</v>
      </c>
    </row>
    <row r="306" spans="3:9">
      <c r="C306" s="82" t="s">
        <v>1728</v>
      </c>
      <c r="D306" s="81" t="s">
        <v>1743</v>
      </c>
      <c r="F306" s="82" t="s">
        <v>1565</v>
      </c>
      <c r="G306" s="84">
        <v>10.210000000000001</v>
      </c>
      <c r="H306" s="84">
        <v>10.17</v>
      </c>
      <c r="I306" s="81">
        <v>10.14</v>
      </c>
    </row>
    <row r="307" spans="3:9">
      <c r="C307" s="82" t="s">
        <v>1728</v>
      </c>
      <c r="D307" s="81" t="s">
        <v>1742</v>
      </c>
      <c r="F307" s="82" t="s">
        <v>1559</v>
      </c>
      <c r="G307" s="84">
        <v>10.210000000000001</v>
      </c>
      <c r="H307" s="84">
        <v>10.17</v>
      </c>
      <c r="I307" s="81">
        <v>10.14</v>
      </c>
    </row>
    <row r="308" spans="3:9">
      <c r="C308" s="82" t="s">
        <v>1728</v>
      </c>
      <c r="D308" s="81" t="s">
        <v>1741</v>
      </c>
      <c r="F308" s="82" t="s">
        <v>1552</v>
      </c>
      <c r="G308" s="84">
        <v>10.210000000000001</v>
      </c>
      <c r="H308" s="84">
        <v>10.17</v>
      </c>
      <c r="I308" s="81">
        <v>10.14</v>
      </c>
    </row>
    <row r="309" spans="3:9">
      <c r="C309" s="82" t="s">
        <v>1728</v>
      </c>
      <c r="D309" s="81" t="s">
        <v>1740</v>
      </c>
      <c r="F309" s="82" t="s">
        <v>1549</v>
      </c>
      <c r="G309" s="84">
        <v>10.210000000000001</v>
      </c>
      <c r="H309" s="84">
        <v>10.17</v>
      </c>
      <c r="I309" s="81">
        <v>10.14</v>
      </c>
    </row>
    <row r="310" spans="3:9">
      <c r="C310" s="82" t="s">
        <v>1728</v>
      </c>
      <c r="D310" s="81" t="s">
        <v>1739</v>
      </c>
      <c r="F310" s="82" t="s">
        <v>1548</v>
      </c>
      <c r="G310" s="84">
        <v>10.210000000000001</v>
      </c>
      <c r="H310" s="84">
        <v>10.17</v>
      </c>
      <c r="I310" s="81">
        <v>10.14</v>
      </c>
    </row>
    <row r="311" spans="3:9">
      <c r="C311" s="82" t="s">
        <v>1728</v>
      </c>
      <c r="D311" s="81" t="s">
        <v>1738</v>
      </c>
      <c r="F311" s="82" t="s">
        <v>1545</v>
      </c>
      <c r="G311" s="84">
        <v>10.210000000000001</v>
      </c>
      <c r="H311" s="84">
        <v>10.17</v>
      </c>
      <c r="I311" s="81">
        <v>10.14</v>
      </c>
    </row>
    <row r="312" spans="3:9">
      <c r="C312" s="82" t="s">
        <v>1728</v>
      </c>
      <c r="D312" s="81" t="s">
        <v>1737</v>
      </c>
      <c r="F312" s="82" t="s">
        <v>1736</v>
      </c>
      <c r="G312" s="84">
        <v>10.210000000000001</v>
      </c>
      <c r="H312" s="84">
        <v>10.17</v>
      </c>
      <c r="I312" s="81">
        <v>10.14</v>
      </c>
    </row>
    <row r="313" spans="3:9">
      <c r="C313" s="82" t="s">
        <v>1728</v>
      </c>
      <c r="D313" s="81" t="s">
        <v>1735</v>
      </c>
      <c r="F313" s="82" t="s">
        <v>1734</v>
      </c>
      <c r="G313" s="84">
        <v>10.210000000000001</v>
      </c>
      <c r="H313" s="84">
        <v>10.17</v>
      </c>
      <c r="I313" s="81">
        <v>10.14</v>
      </c>
    </row>
    <row r="314" spans="3:9">
      <c r="C314" s="82" t="s">
        <v>1728</v>
      </c>
      <c r="D314" s="81" t="s">
        <v>1733</v>
      </c>
      <c r="F314" s="82" t="s">
        <v>1525</v>
      </c>
      <c r="G314" s="84">
        <v>10.210000000000001</v>
      </c>
      <c r="H314" s="84">
        <v>10.17</v>
      </c>
      <c r="I314" s="81">
        <v>10.14</v>
      </c>
    </row>
    <row r="315" spans="3:9">
      <c r="C315" s="82" t="s">
        <v>1728</v>
      </c>
      <c r="D315" s="81" t="s">
        <v>1732</v>
      </c>
      <c r="F315" s="82" t="s">
        <v>1517</v>
      </c>
      <c r="G315" s="84">
        <v>10.210000000000001</v>
      </c>
      <c r="H315" s="84">
        <v>10.17</v>
      </c>
      <c r="I315" s="81">
        <v>10.14</v>
      </c>
    </row>
    <row r="316" spans="3:9">
      <c r="C316" s="82" t="s">
        <v>1728</v>
      </c>
      <c r="D316" s="81" t="s">
        <v>1731</v>
      </c>
      <c r="F316" s="82" t="s">
        <v>1504</v>
      </c>
      <c r="G316" s="84">
        <v>10.210000000000001</v>
      </c>
      <c r="H316" s="84">
        <v>10.17</v>
      </c>
      <c r="I316" s="81">
        <v>10.14</v>
      </c>
    </row>
    <row r="317" spans="3:9">
      <c r="C317" s="82" t="s">
        <v>1728</v>
      </c>
      <c r="D317" s="81" t="s">
        <v>1730</v>
      </c>
      <c r="F317" s="82" t="s">
        <v>1483</v>
      </c>
      <c r="G317" s="84">
        <v>10.210000000000001</v>
      </c>
      <c r="H317" s="84">
        <v>10.17</v>
      </c>
      <c r="I317" s="81">
        <v>10.14</v>
      </c>
    </row>
    <row r="318" spans="3:9">
      <c r="C318" s="82" t="s">
        <v>1728</v>
      </c>
      <c r="D318" s="81" t="s">
        <v>357</v>
      </c>
      <c r="F318" s="82" t="s">
        <v>1477</v>
      </c>
      <c r="G318" s="84">
        <v>10.210000000000001</v>
      </c>
      <c r="H318" s="84">
        <v>10.17</v>
      </c>
      <c r="I318" s="81">
        <v>10.14</v>
      </c>
    </row>
    <row r="319" spans="3:9">
      <c r="C319" s="82" t="s">
        <v>1728</v>
      </c>
      <c r="D319" s="81" t="s">
        <v>1729</v>
      </c>
      <c r="F319" s="82" t="s">
        <v>1476</v>
      </c>
      <c r="G319" s="84">
        <v>10.210000000000001</v>
      </c>
      <c r="H319" s="84">
        <v>10.17</v>
      </c>
      <c r="I319" s="81">
        <v>10.14</v>
      </c>
    </row>
    <row r="320" spans="3:9">
      <c r="C320" s="82" t="s">
        <v>1728</v>
      </c>
      <c r="D320" s="81" t="s">
        <v>1727</v>
      </c>
      <c r="F320" s="82" t="s">
        <v>1475</v>
      </c>
      <c r="G320" s="84">
        <v>10.210000000000001</v>
      </c>
      <c r="H320" s="84">
        <v>10.17</v>
      </c>
      <c r="I320" s="81">
        <v>10.14</v>
      </c>
    </row>
    <row r="321" spans="3:9">
      <c r="C321" s="82" t="s">
        <v>1690</v>
      </c>
      <c r="D321" s="81" t="s">
        <v>1726</v>
      </c>
      <c r="F321" s="82" t="s">
        <v>1472</v>
      </c>
      <c r="G321" s="84">
        <v>10.210000000000001</v>
      </c>
      <c r="H321" s="84">
        <v>10.17</v>
      </c>
      <c r="I321" s="81">
        <v>10.14</v>
      </c>
    </row>
    <row r="322" spans="3:9">
      <c r="C322" s="82" t="s">
        <v>1690</v>
      </c>
      <c r="D322" s="81" t="s">
        <v>1725</v>
      </c>
      <c r="F322" s="82" t="s">
        <v>1471</v>
      </c>
      <c r="G322" s="84">
        <v>10.210000000000001</v>
      </c>
      <c r="H322" s="84">
        <v>10.17</v>
      </c>
      <c r="I322" s="81">
        <v>10.14</v>
      </c>
    </row>
    <row r="323" spans="3:9">
      <c r="C323" s="82" t="s">
        <v>1690</v>
      </c>
      <c r="D323" s="81" t="s">
        <v>1724</v>
      </c>
      <c r="F323" s="82" t="s">
        <v>1470</v>
      </c>
      <c r="G323" s="84">
        <v>10.210000000000001</v>
      </c>
      <c r="H323" s="84">
        <v>10.17</v>
      </c>
      <c r="I323" s="81">
        <v>10.14</v>
      </c>
    </row>
    <row r="324" spans="3:9">
      <c r="C324" s="82" t="s">
        <v>1690</v>
      </c>
      <c r="D324" s="81" t="s">
        <v>1723</v>
      </c>
      <c r="F324" s="82" t="s">
        <v>1461</v>
      </c>
      <c r="G324" s="84">
        <v>10.210000000000001</v>
      </c>
      <c r="H324" s="84">
        <v>10.17</v>
      </c>
      <c r="I324" s="81">
        <v>10.14</v>
      </c>
    </row>
    <row r="325" spans="3:9">
      <c r="C325" s="82" t="s">
        <v>1690</v>
      </c>
      <c r="D325" s="81" t="s">
        <v>1722</v>
      </c>
      <c r="F325" s="82" t="s">
        <v>1445</v>
      </c>
      <c r="G325" s="84">
        <v>10.210000000000001</v>
      </c>
      <c r="H325" s="84">
        <v>10.17</v>
      </c>
      <c r="I325" s="81">
        <v>10.14</v>
      </c>
    </row>
    <row r="326" spans="3:9">
      <c r="C326" s="82" t="s">
        <v>1690</v>
      </c>
      <c r="D326" s="81" t="s">
        <v>1721</v>
      </c>
      <c r="F326" s="82" t="s">
        <v>1434</v>
      </c>
      <c r="G326" s="84">
        <v>10.210000000000001</v>
      </c>
      <c r="H326" s="84">
        <v>10.17</v>
      </c>
      <c r="I326" s="81">
        <v>10.14</v>
      </c>
    </row>
    <row r="327" spans="3:9">
      <c r="C327" s="82" t="s">
        <v>1690</v>
      </c>
      <c r="D327" s="81" t="s">
        <v>1720</v>
      </c>
      <c r="F327" s="82" t="s">
        <v>1433</v>
      </c>
      <c r="G327" s="84">
        <v>10.210000000000001</v>
      </c>
      <c r="H327" s="84">
        <v>10.17</v>
      </c>
      <c r="I327" s="81">
        <v>10.14</v>
      </c>
    </row>
    <row r="328" spans="3:9">
      <c r="C328" s="82" t="s">
        <v>1690</v>
      </c>
      <c r="D328" s="81" t="s">
        <v>1719</v>
      </c>
      <c r="F328" s="82" t="s">
        <v>1429</v>
      </c>
      <c r="G328" s="84">
        <v>10.210000000000001</v>
      </c>
      <c r="H328" s="84">
        <v>10.17</v>
      </c>
      <c r="I328" s="81">
        <v>10.14</v>
      </c>
    </row>
    <row r="329" spans="3:9">
      <c r="C329" s="82" t="s">
        <v>1690</v>
      </c>
      <c r="D329" s="81" t="s">
        <v>1718</v>
      </c>
      <c r="F329" s="82" t="s">
        <v>1717</v>
      </c>
      <c r="G329" s="84">
        <v>10.210000000000001</v>
      </c>
      <c r="H329" s="84">
        <v>10.17</v>
      </c>
      <c r="I329" s="81">
        <v>10.14</v>
      </c>
    </row>
    <row r="330" spans="3:9">
      <c r="C330" s="82" t="s">
        <v>1690</v>
      </c>
      <c r="D330" s="81" t="s">
        <v>1716</v>
      </c>
      <c r="F330" s="82" t="s">
        <v>1422</v>
      </c>
      <c r="G330" s="84">
        <v>10.210000000000001</v>
      </c>
      <c r="H330" s="84">
        <v>10.17</v>
      </c>
      <c r="I330" s="81">
        <v>10.14</v>
      </c>
    </row>
    <row r="331" spans="3:9">
      <c r="C331" s="82" t="s">
        <v>1690</v>
      </c>
      <c r="D331" s="81" t="s">
        <v>1715</v>
      </c>
      <c r="F331" s="82" t="s">
        <v>1420</v>
      </c>
      <c r="G331" s="84">
        <v>10.210000000000001</v>
      </c>
      <c r="H331" s="84">
        <v>10.17</v>
      </c>
      <c r="I331" s="81">
        <v>10.14</v>
      </c>
    </row>
    <row r="332" spans="3:9">
      <c r="C332" s="82" t="s">
        <v>1690</v>
      </c>
      <c r="D332" s="81" t="s">
        <v>1714</v>
      </c>
      <c r="F332" s="82" t="s">
        <v>1407</v>
      </c>
      <c r="G332" s="84">
        <v>10.210000000000001</v>
      </c>
      <c r="H332" s="84">
        <v>10.17</v>
      </c>
      <c r="I332" s="81">
        <v>10.14</v>
      </c>
    </row>
    <row r="333" spans="3:9">
      <c r="C333" s="82" t="s">
        <v>1690</v>
      </c>
      <c r="D333" s="81" t="s">
        <v>1713</v>
      </c>
      <c r="F333" s="82" t="s">
        <v>1406</v>
      </c>
      <c r="G333" s="84">
        <v>10.210000000000001</v>
      </c>
      <c r="H333" s="84">
        <v>10.17</v>
      </c>
      <c r="I333" s="81">
        <v>10.14</v>
      </c>
    </row>
    <row r="334" spans="3:9">
      <c r="C334" s="82" t="s">
        <v>1690</v>
      </c>
      <c r="D334" s="81" t="s">
        <v>1712</v>
      </c>
      <c r="F334" s="82" t="s">
        <v>1711</v>
      </c>
      <c r="G334" s="84">
        <v>10.210000000000001</v>
      </c>
      <c r="H334" s="84">
        <v>10.17</v>
      </c>
      <c r="I334" s="81">
        <v>10.14</v>
      </c>
    </row>
    <row r="335" spans="3:9">
      <c r="C335" s="82" t="s">
        <v>1690</v>
      </c>
      <c r="D335" s="81" t="s">
        <v>1710</v>
      </c>
      <c r="F335" s="82" t="s">
        <v>1709</v>
      </c>
      <c r="G335" s="84">
        <v>10.210000000000001</v>
      </c>
      <c r="H335" s="84">
        <v>10.17</v>
      </c>
      <c r="I335" s="81">
        <v>10.14</v>
      </c>
    </row>
    <row r="336" spans="3:9">
      <c r="C336" s="82" t="s">
        <v>1690</v>
      </c>
      <c r="D336" s="81" t="s">
        <v>1708</v>
      </c>
      <c r="F336" s="82" t="s">
        <v>1313</v>
      </c>
      <c r="G336" s="84">
        <v>10.210000000000001</v>
      </c>
      <c r="H336" s="84">
        <v>10.17</v>
      </c>
      <c r="I336" s="81">
        <v>10.14</v>
      </c>
    </row>
    <row r="337" spans="3:9">
      <c r="C337" s="82" t="s">
        <v>1690</v>
      </c>
      <c r="D337" s="81" t="s">
        <v>1707</v>
      </c>
      <c r="F337" s="82" t="s">
        <v>1307</v>
      </c>
      <c r="G337" s="84">
        <v>10.210000000000001</v>
      </c>
      <c r="H337" s="84">
        <v>10.17</v>
      </c>
      <c r="I337" s="81">
        <v>10.14</v>
      </c>
    </row>
    <row r="338" spans="3:9">
      <c r="C338" s="82" t="s">
        <v>1690</v>
      </c>
      <c r="D338" s="81" t="s">
        <v>973</v>
      </c>
      <c r="F338" s="82" t="s">
        <v>1276</v>
      </c>
      <c r="G338" s="84">
        <v>10.210000000000001</v>
      </c>
      <c r="H338" s="84">
        <v>10.17</v>
      </c>
      <c r="I338" s="81">
        <v>10.14</v>
      </c>
    </row>
    <row r="339" spans="3:9">
      <c r="C339" s="82" t="s">
        <v>1690</v>
      </c>
      <c r="D339" s="81" t="s">
        <v>1706</v>
      </c>
      <c r="F339" s="82" t="s">
        <v>1261</v>
      </c>
      <c r="G339" s="84">
        <v>10.210000000000001</v>
      </c>
      <c r="H339" s="84">
        <v>10.17</v>
      </c>
      <c r="I339" s="81">
        <v>10.14</v>
      </c>
    </row>
    <row r="340" spans="3:9">
      <c r="C340" s="82" t="s">
        <v>1690</v>
      </c>
      <c r="D340" s="81" t="s">
        <v>1705</v>
      </c>
      <c r="F340" s="82" t="s">
        <v>1248</v>
      </c>
      <c r="G340" s="84">
        <v>10.210000000000001</v>
      </c>
      <c r="H340" s="84">
        <v>10.17</v>
      </c>
      <c r="I340" s="81">
        <v>10.14</v>
      </c>
    </row>
    <row r="341" spans="3:9">
      <c r="C341" s="82" t="s">
        <v>1690</v>
      </c>
      <c r="D341" s="81" t="s">
        <v>1657</v>
      </c>
      <c r="F341" s="82" t="s">
        <v>1241</v>
      </c>
      <c r="G341" s="84">
        <v>10.210000000000001</v>
      </c>
      <c r="H341" s="84">
        <v>10.17</v>
      </c>
      <c r="I341" s="81">
        <v>10.14</v>
      </c>
    </row>
    <row r="342" spans="3:9">
      <c r="C342" s="82" t="s">
        <v>1690</v>
      </c>
      <c r="D342" s="81" t="s">
        <v>1704</v>
      </c>
      <c r="F342" s="82" t="s">
        <v>1225</v>
      </c>
      <c r="G342" s="84">
        <v>10.210000000000001</v>
      </c>
      <c r="H342" s="84">
        <v>10.17</v>
      </c>
      <c r="I342" s="81">
        <v>10.14</v>
      </c>
    </row>
    <row r="343" spans="3:9">
      <c r="C343" s="82" t="s">
        <v>1690</v>
      </c>
      <c r="D343" s="81" t="s">
        <v>1703</v>
      </c>
      <c r="F343" s="82" t="s">
        <v>1702</v>
      </c>
      <c r="G343" s="84">
        <v>10.210000000000001</v>
      </c>
      <c r="H343" s="84">
        <v>10.17</v>
      </c>
      <c r="I343" s="81">
        <v>10.14</v>
      </c>
    </row>
    <row r="344" spans="3:9">
      <c r="C344" s="82" t="s">
        <v>1690</v>
      </c>
      <c r="D344" s="81" t="s">
        <v>1701</v>
      </c>
      <c r="F344" s="82" t="s">
        <v>1700</v>
      </c>
      <c r="G344" s="84">
        <v>10.210000000000001</v>
      </c>
      <c r="H344" s="84">
        <v>10.17</v>
      </c>
      <c r="I344" s="81">
        <v>10.14</v>
      </c>
    </row>
    <row r="345" spans="3:9">
      <c r="C345" s="82" t="s">
        <v>1690</v>
      </c>
      <c r="D345" s="81" t="s">
        <v>1699</v>
      </c>
      <c r="F345" s="82" t="s">
        <v>1198</v>
      </c>
      <c r="G345" s="84">
        <v>10.210000000000001</v>
      </c>
      <c r="H345" s="84">
        <v>10.17</v>
      </c>
      <c r="I345" s="81">
        <v>10.14</v>
      </c>
    </row>
    <row r="346" spans="3:9">
      <c r="C346" s="82" t="s">
        <v>1690</v>
      </c>
      <c r="D346" s="81" t="s">
        <v>1698</v>
      </c>
      <c r="F346" s="82" t="s">
        <v>1197</v>
      </c>
      <c r="G346" s="84">
        <v>10.210000000000001</v>
      </c>
      <c r="H346" s="84">
        <v>10.17</v>
      </c>
      <c r="I346" s="81">
        <v>10.14</v>
      </c>
    </row>
    <row r="347" spans="3:9">
      <c r="C347" s="82" t="s">
        <v>1690</v>
      </c>
      <c r="D347" s="81" t="s">
        <v>1697</v>
      </c>
      <c r="F347" s="82" t="s">
        <v>1184</v>
      </c>
      <c r="G347" s="84">
        <v>10.210000000000001</v>
      </c>
      <c r="H347" s="84">
        <v>10.17</v>
      </c>
      <c r="I347" s="81">
        <v>10.14</v>
      </c>
    </row>
    <row r="348" spans="3:9">
      <c r="C348" s="82" t="s">
        <v>1690</v>
      </c>
      <c r="D348" s="81" t="s">
        <v>1696</v>
      </c>
      <c r="F348" s="82" t="s">
        <v>1122</v>
      </c>
      <c r="G348" s="84">
        <v>10.210000000000001</v>
      </c>
      <c r="H348" s="84">
        <v>10.17</v>
      </c>
      <c r="I348" s="81">
        <v>10.14</v>
      </c>
    </row>
    <row r="349" spans="3:9">
      <c r="C349" s="82" t="s">
        <v>1690</v>
      </c>
      <c r="D349" s="81" t="s">
        <v>812</v>
      </c>
      <c r="F349" s="82" t="s">
        <v>1120</v>
      </c>
      <c r="G349" s="84">
        <v>10.210000000000001</v>
      </c>
      <c r="H349" s="84">
        <v>10.17</v>
      </c>
      <c r="I349" s="81">
        <v>10.14</v>
      </c>
    </row>
    <row r="350" spans="3:9">
      <c r="C350" s="82" t="s">
        <v>1690</v>
      </c>
      <c r="D350" s="81" t="s">
        <v>422</v>
      </c>
      <c r="F350" s="82" t="s">
        <v>1695</v>
      </c>
      <c r="G350" s="84">
        <v>10.210000000000001</v>
      </c>
      <c r="H350" s="84">
        <v>10.17</v>
      </c>
      <c r="I350" s="81">
        <v>10.14</v>
      </c>
    </row>
    <row r="351" spans="3:9">
      <c r="C351" s="82" t="s">
        <v>1690</v>
      </c>
      <c r="D351" s="81" t="s">
        <v>1694</v>
      </c>
      <c r="F351" s="82" t="s">
        <v>1111</v>
      </c>
      <c r="G351" s="84">
        <v>10.210000000000001</v>
      </c>
      <c r="H351" s="84">
        <v>10.17</v>
      </c>
      <c r="I351" s="81">
        <v>10.14</v>
      </c>
    </row>
    <row r="352" spans="3:9">
      <c r="C352" s="82" t="s">
        <v>1690</v>
      </c>
      <c r="D352" s="81" t="s">
        <v>1693</v>
      </c>
      <c r="F352" s="82" t="s">
        <v>1110</v>
      </c>
      <c r="G352" s="84">
        <v>10.210000000000001</v>
      </c>
      <c r="H352" s="84">
        <v>10.17</v>
      </c>
      <c r="I352" s="81">
        <v>10.14</v>
      </c>
    </row>
    <row r="353" spans="3:9">
      <c r="C353" s="82" t="s">
        <v>1690</v>
      </c>
      <c r="D353" s="81" t="s">
        <v>1692</v>
      </c>
      <c r="F353" s="82" t="s">
        <v>1079</v>
      </c>
      <c r="G353" s="84">
        <v>10.210000000000001</v>
      </c>
      <c r="H353" s="84">
        <v>10.17</v>
      </c>
      <c r="I353" s="81">
        <v>10.14</v>
      </c>
    </row>
    <row r="354" spans="3:9">
      <c r="C354" s="82" t="s">
        <v>1690</v>
      </c>
      <c r="D354" s="81" t="s">
        <v>1691</v>
      </c>
      <c r="F354" s="82" t="s">
        <v>1078</v>
      </c>
      <c r="G354" s="84">
        <v>10.210000000000001</v>
      </c>
      <c r="H354" s="84">
        <v>10.17</v>
      </c>
      <c r="I354" s="81">
        <v>10.14</v>
      </c>
    </row>
    <row r="355" spans="3:9">
      <c r="C355" s="82" t="s">
        <v>1690</v>
      </c>
      <c r="D355" s="81" t="s">
        <v>1689</v>
      </c>
      <c r="F355" s="82" t="s">
        <v>1076</v>
      </c>
      <c r="G355" s="84">
        <v>10.210000000000001</v>
      </c>
      <c r="H355" s="84">
        <v>10.17</v>
      </c>
      <c r="I355" s="81">
        <v>10.14</v>
      </c>
    </row>
    <row r="356" spans="3:9">
      <c r="C356" s="82" t="s">
        <v>1626</v>
      </c>
      <c r="D356" s="81" t="s">
        <v>1688</v>
      </c>
      <c r="F356" s="82" t="s">
        <v>1075</v>
      </c>
      <c r="G356" s="84">
        <v>10.210000000000001</v>
      </c>
      <c r="H356" s="84">
        <v>10.17</v>
      </c>
      <c r="I356" s="81">
        <v>10.14</v>
      </c>
    </row>
    <row r="357" spans="3:9">
      <c r="C357" s="82" t="s">
        <v>1626</v>
      </c>
      <c r="D357" s="81" t="s">
        <v>1687</v>
      </c>
      <c r="F357" s="82" t="s">
        <v>1073</v>
      </c>
      <c r="G357" s="84">
        <v>10.210000000000001</v>
      </c>
      <c r="H357" s="84">
        <v>10.17</v>
      </c>
      <c r="I357" s="81">
        <v>10.14</v>
      </c>
    </row>
    <row r="358" spans="3:9">
      <c r="C358" s="82" t="s">
        <v>1626</v>
      </c>
      <c r="D358" s="81" t="s">
        <v>1686</v>
      </c>
      <c r="F358" s="82" t="s">
        <v>1072</v>
      </c>
      <c r="G358" s="84">
        <v>10.210000000000001</v>
      </c>
      <c r="H358" s="84">
        <v>10.17</v>
      </c>
      <c r="I358" s="81">
        <v>10.14</v>
      </c>
    </row>
    <row r="359" spans="3:9">
      <c r="C359" s="82" t="s">
        <v>1626</v>
      </c>
      <c r="D359" s="81" t="s">
        <v>1685</v>
      </c>
      <c r="F359" s="82" t="s">
        <v>1071</v>
      </c>
      <c r="G359" s="84">
        <v>10.210000000000001</v>
      </c>
      <c r="H359" s="84">
        <v>10.17</v>
      </c>
      <c r="I359" s="81">
        <v>10.14</v>
      </c>
    </row>
    <row r="360" spans="3:9">
      <c r="C360" s="82" t="s">
        <v>1626</v>
      </c>
      <c r="D360" s="81" t="s">
        <v>1684</v>
      </c>
      <c r="F360" s="82" t="s">
        <v>1070</v>
      </c>
      <c r="G360" s="84">
        <v>10.210000000000001</v>
      </c>
      <c r="H360" s="84">
        <v>10.17</v>
      </c>
      <c r="I360" s="81">
        <v>10.14</v>
      </c>
    </row>
    <row r="361" spans="3:9">
      <c r="C361" s="82" t="s">
        <v>1626</v>
      </c>
      <c r="D361" s="81" t="s">
        <v>1683</v>
      </c>
      <c r="F361" s="82" t="s">
        <v>1069</v>
      </c>
      <c r="G361" s="84">
        <v>10.210000000000001</v>
      </c>
      <c r="H361" s="84">
        <v>10.17</v>
      </c>
      <c r="I361" s="81">
        <v>10.14</v>
      </c>
    </row>
    <row r="362" spans="3:9">
      <c r="C362" s="82" t="s">
        <v>1626</v>
      </c>
      <c r="D362" s="81" t="s">
        <v>1682</v>
      </c>
      <c r="F362" s="82" t="s">
        <v>1068</v>
      </c>
      <c r="G362" s="84">
        <v>10.210000000000001</v>
      </c>
      <c r="H362" s="84">
        <v>10.17</v>
      </c>
      <c r="I362" s="81">
        <v>10.14</v>
      </c>
    </row>
    <row r="363" spans="3:9">
      <c r="C363" s="82" t="s">
        <v>1626</v>
      </c>
      <c r="D363" s="81" t="s">
        <v>1681</v>
      </c>
      <c r="F363" s="82" t="s">
        <v>1067</v>
      </c>
      <c r="G363" s="84">
        <v>10.210000000000001</v>
      </c>
      <c r="H363" s="84">
        <v>10.17</v>
      </c>
      <c r="I363" s="81">
        <v>10.14</v>
      </c>
    </row>
    <row r="364" spans="3:9">
      <c r="C364" s="82" t="s">
        <v>1626</v>
      </c>
      <c r="D364" s="81" t="s">
        <v>1680</v>
      </c>
      <c r="F364" s="82" t="s">
        <v>1066</v>
      </c>
      <c r="G364" s="84">
        <v>10.210000000000001</v>
      </c>
      <c r="H364" s="84">
        <v>10.17</v>
      </c>
      <c r="I364" s="81">
        <v>10.14</v>
      </c>
    </row>
    <row r="365" spans="3:9">
      <c r="C365" s="82" t="s">
        <v>1626</v>
      </c>
      <c r="D365" s="81" t="s">
        <v>1679</v>
      </c>
      <c r="F365" s="82" t="s">
        <v>1064</v>
      </c>
      <c r="G365" s="84">
        <v>10.210000000000001</v>
      </c>
      <c r="H365" s="84">
        <v>10.17</v>
      </c>
      <c r="I365" s="81">
        <v>10.14</v>
      </c>
    </row>
    <row r="366" spans="3:9">
      <c r="C366" s="82" t="s">
        <v>1626</v>
      </c>
      <c r="D366" s="81" t="s">
        <v>1678</v>
      </c>
      <c r="F366" s="82" t="s">
        <v>1052</v>
      </c>
      <c r="G366" s="84">
        <v>10.210000000000001</v>
      </c>
      <c r="H366" s="84">
        <v>10.17</v>
      </c>
      <c r="I366" s="81">
        <v>10.14</v>
      </c>
    </row>
    <row r="367" spans="3:9">
      <c r="C367" s="82" t="s">
        <v>1626</v>
      </c>
      <c r="D367" s="81" t="s">
        <v>1677</v>
      </c>
      <c r="F367" s="82" t="s">
        <v>1051</v>
      </c>
      <c r="G367" s="84">
        <v>10.210000000000001</v>
      </c>
      <c r="H367" s="84">
        <v>10.17</v>
      </c>
      <c r="I367" s="81">
        <v>10.14</v>
      </c>
    </row>
    <row r="368" spans="3:9">
      <c r="C368" s="82" t="s">
        <v>1626</v>
      </c>
      <c r="D368" s="81" t="s">
        <v>1676</v>
      </c>
      <c r="F368" s="82" t="s">
        <v>1050</v>
      </c>
      <c r="G368" s="84">
        <v>10.210000000000001</v>
      </c>
      <c r="H368" s="84">
        <v>10.17</v>
      </c>
      <c r="I368" s="81">
        <v>10.14</v>
      </c>
    </row>
    <row r="369" spans="3:9">
      <c r="C369" s="82" t="s">
        <v>1626</v>
      </c>
      <c r="D369" s="81" t="s">
        <v>1675</v>
      </c>
      <c r="F369" s="82" t="s">
        <v>1049</v>
      </c>
      <c r="G369" s="84">
        <v>10.210000000000001</v>
      </c>
      <c r="H369" s="84">
        <v>10.17</v>
      </c>
      <c r="I369" s="81">
        <v>10.14</v>
      </c>
    </row>
    <row r="370" spans="3:9">
      <c r="C370" s="82" t="s">
        <v>1626</v>
      </c>
      <c r="D370" s="81" t="s">
        <v>1674</v>
      </c>
      <c r="F370" s="82" t="s">
        <v>1047</v>
      </c>
      <c r="G370" s="84">
        <v>10.210000000000001</v>
      </c>
      <c r="H370" s="84">
        <v>10.17</v>
      </c>
      <c r="I370" s="81">
        <v>10.14</v>
      </c>
    </row>
    <row r="371" spans="3:9">
      <c r="C371" s="82" t="s">
        <v>1626</v>
      </c>
      <c r="D371" s="81" t="s">
        <v>1673</v>
      </c>
      <c r="F371" s="82" t="s">
        <v>1045</v>
      </c>
      <c r="G371" s="84">
        <v>10.210000000000001</v>
      </c>
      <c r="H371" s="84">
        <v>10.17</v>
      </c>
      <c r="I371" s="81">
        <v>10.14</v>
      </c>
    </row>
    <row r="372" spans="3:9">
      <c r="C372" s="82" t="s">
        <v>1626</v>
      </c>
      <c r="D372" s="81" t="s">
        <v>1672</v>
      </c>
      <c r="F372" s="82" t="s">
        <v>1043</v>
      </c>
      <c r="G372" s="84">
        <v>10.210000000000001</v>
      </c>
      <c r="H372" s="84">
        <v>10.17</v>
      </c>
      <c r="I372" s="81">
        <v>10.14</v>
      </c>
    </row>
    <row r="373" spans="3:9">
      <c r="C373" s="82" t="s">
        <v>1626</v>
      </c>
      <c r="D373" s="81" t="s">
        <v>1671</v>
      </c>
      <c r="F373" s="82" t="s">
        <v>1039</v>
      </c>
      <c r="G373" s="84">
        <v>10.210000000000001</v>
      </c>
      <c r="H373" s="84">
        <v>10.17</v>
      </c>
      <c r="I373" s="81">
        <v>10.14</v>
      </c>
    </row>
    <row r="374" spans="3:9">
      <c r="C374" s="82" t="s">
        <v>1626</v>
      </c>
      <c r="D374" s="81" t="s">
        <v>1670</v>
      </c>
      <c r="F374" s="82" t="s">
        <v>1037</v>
      </c>
      <c r="G374" s="84">
        <v>10.210000000000001</v>
      </c>
      <c r="H374" s="84">
        <v>10.17</v>
      </c>
      <c r="I374" s="81">
        <v>10.14</v>
      </c>
    </row>
    <row r="375" spans="3:9">
      <c r="C375" s="82" t="s">
        <v>1626</v>
      </c>
      <c r="D375" s="81" t="s">
        <v>1669</v>
      </c>
      <c r="F375" s="82" t="s">
        <v>1030</v>
      </c>
      <c r="G375" s="84">
        <v>10.210000000000001</v>
      </c>
      <c r="H375" s="84">
        <v>10.17</v>
      </c>
      <c r="I375" s="81">
        <v>10.14</v>
      </c>
    </row>
    <row r="376" spans="3:9">
      <c r="C376" s="82" t="s">
        <v>1626</v>
      </c>
      <c r="D376" s="81" t="s">
        <v>1668</v>
      </c>
      <c r="F376" s="82" t="s">
        <v>1028</v>
      </c>
      <c r="G376" s="84">
        <v>10.210000000000001</v>
      </c>
      <c r="H376" s="84">
        <v>10.17</v>
      </c>
      <c r="I376" s="81">
        <v>10.14</v>
      </c>
    </row>
    <row r="377" spans="3:9">
      <c r="C377" s="82" t="s">
        <v>1626</v>
      </c>
      <c r="D377" s="81" t="s">
        <v>1667</v>
      </c>
      <c r="F377" s="82" t="s">
        <v>1026</v>
      </c>
      <c r="G377" s="84">
        <v>10.210000000000001</v>
      </c>
      <c r="H377" s="84">
        <v>10.17</v>
      </c>
      <c r="I377" s="81">
        <v>10.14</v>
      </c>
    </row>
    <row r="378" spans="3:9">
      <c r="C378" s="82" t="s">
        <v>1626</v>
      </c>
      <c r="D378" s="81" t="s">
        <v>1666</v>
      </c>
      <c r="F378" s="82" t="s">
        <v>1024</v>
      </c>
      <c r="G378" s="84">
        <v>10.210000000000001</v>
      </c>
      <c r="H378" s="84">
        <v>10.17</v>
      </c>
      <c r="I378" s="81">
        <v>10.14</v>
      </c>
    </row>
    <row r="379" spans="3:9">
      <c r="C379" s="82" t="s">
        <v>1626</v>
      </c>
      <c r="D379" s="81" t="s">
        <v>1665</v>
      </c>
      <c r="F379" s="82" t="s">
        <v>1023</v>
      </c>
      <c r="G379" s="84">
        <v>10.210000000000001</v>
      </c>
      <c r="H379" s="84">
        <v>10.17</v>
      </c>
      <c r="I379" s="81">
        <v>10.14</v>
      </c>
    </row>
    <row r="380" spans="3:9">
      <c r="C380" s="82" t="s">
        <v>1626</v>
      </c>
      <c r="D380" s="81" t="s">
        <v>1664</v>
      </c>
      <c r="F380" s="82" t="s">
        <v>1022</v>
      </c>
      <c r="G380" s="84">
        <v>10.210000000000001</v>
      </c>
      <c r="H380" s="84">
        <v>10.17</v>
      </c>
      <c r="I380" s="81">
        <v>10.14</v>
      </c>
    </row>
    <row r="381" spans="3:9">
      <c r="C381" s="82" t="s">
        <v>1626</v>
      </c>
      <c r="D381" s="81" t="s">
        <v>1663</v>
      </c>
      <c r="F381" s="82" t="s">
        <v>1021</v>
      </c>
      <c r="G381" s="84">
        <v>10.210000000000001</v>
      </c>
      <c r="H381" s="84">
        <v>10.17</v>
      </c>
      <c r="I381" s="81">
        <v>10.14</v>
      </c>
    </row>
    <row r="382" spans="3:9">
      <c r="C382" s="82" t="s">
        <v>1626</v>
      </c>
      <c r="D382" s="81" t="s">
        <v>1662</v>
      </c>
      <c r="F382" s="82" t="s">
        <v>1018</v>
      </c>
      <c r="G382" s="84">
        <v>10.210000000000001</v>
      </c>
      <c r="H382" s="84">
        <v>10.17</v>
      </c>
      <c r="I382" s="81">
        <v>10.14</v>
      </c>
    </row>
    <row r="383" spans="3:9">
      <c r="C383" s="82" t="s">
        <v>1626</v>
      </c>
      <c r="D383" s="81" t="s">
        <v>1661</v>
      </c>
      <c r="F383" s="82" t="s">
        <v>1014</v>
      </c>
      <c r="G383" s="84">
        <v>10.210000000000001</v>
      </c>
      <c r="H383" s="84">
        <v>10.17</v>
      </c>
      <c r="I383" s="81">
        <v>10.14</v>
      </c>
    </row>
    <row r="384" spans="3:9">
      <c r="C384" s="82" t="s">
        <v>1626</v>
      </c>
      <c r="D384" s="81" t="s">
        <v>1660</v>
      </c>
      <c r="F384" s="82" t="s">
        <v>1004</v>
      </c>
      <c r="G384" s="84">
        <v>10.210000000000001</v>
      </c>
      <c r="H384" s="84">
        <v>10.17</v>
      </c>
      <c r="I384" s="81">
        <v>10.14</v>
      </c>
    </row>
    <row r="385" spans="3:9">
      <c r="C385" s="82" t="s">
        <v>1626</v>
      </c>
      <c r="D385" s="81" t="s">
        <v>1659</v>
      </c>
      <c r="F385" s="82" t="s">
        <v>1003</v>
      </c>
      <c r="G385" s="84">
        <v>10.210000000000001</v>
      </c>
      <c r="H385" s="84">
        <v>10.17</v>
      </c>
      <c r="I385" s="81">
        <v>10.14</v>
      </c>
    </row>
    <row r="386" spans="3:9">
      <c r="C386" s="82" t="s">
        <v>1626</v>
      </c>
      <c r="D386" s="81" t="s">
        <v>1658</v>
      </c>
      <c r="F386" s="82" t="s">
        <v>999</v>
      </c>
      <c r="G386" s="84">
        <v>10.210000000000001</v>
      </c>
      <c r="H386" s="84">
        <v>10.17</v>
      </c>
      <c r="I386" s="81">
        <v>10.14</v>
      </c>
    </row>
    <row r="387" spans="3:9">
      <c r="C387" s="82" t="s">
        <v>1626</v>
      </c>
      <c r="D387" s="81" t="s">
        <v>1657</v>
      </c>
      <c r="F387" s="82" t="s">
        <v>998</v>
      </c>
      <c r="G387" s="84">
        <v>10.210000000000001</v>
      </c>
      <c r="H387" s="84">
        <v>10.17</v>
      </c>
      <c r="I387" s="81">
        <v>10.14</v>
      </c>
    </row>
    <row r="388" spans="3:9">
      <c r="C388" s="82" t="s">
        <v>1626</v>
      </c>
      <c r="D388" s="81" t="s">
        <v>1527</v>
      </c>
      <c r="F388" s="82" t="s">
        <v>1656</v>
      </c>
      <c r="G388" s="84">
        <v>10.210000000000001</v>
      </c>
      <c r="H388" s="84">
        <v>10.17</v>
      </c>
      <c r="I388" s="81">
        <v>10.14</v>
      </c>
    </row>
    <row r="389" spans="3:9">
      <c r="C389" s="82" t="s">
        <v>1626</v>
      </c>
      <c r="D389" s="81" t="s">
        <v>1655</v>
      </c>
      <c r="F389" s="82" t="s">
        <v>995</v>
      </c>
      <c r="G389" s="84">
        <v>10.210000000000001</v>
      </c>
      <c r="H389" s="84">
        <v>10.17</v>
      </c>
      <c r="I389" s="81">
        <v>10.14</v>
      </c>
    </row>
    <row r="390" spans="3:9">
      <c r="C390" s="82" t="s">
        <v>1626</v>
      </c>
      <c r="D390" s="81" t="s">
        <v>1654</v>
      </c>
      <c r="F390" s="82" t="s">
        <v>994</v>
      </c>
      <c r="G390" s="84">
        <v>10.210000000000001</v>
      </c>
      <c r="H390" s="84">
        <v>10.17</v>
      </c>
      <c r="I390" s="81">
        <v>10.14</v>
      </c>
    </row>
    <row r="391" spans="3:9">
      <c r="C391" s="82" t="s">
        <v>1626</v>
      </c>
      <c r="D391" s="81" t="s">
        <v>1653</v>
      </c>
      <c r="F391" s="82" t="s">
        <v>993</v>
      </c>
      <c r="G391" s="84">
        <v>10.210000000000001</v>
      </c>
      <c r="H391" s="84">
        <v>10.17</v>
      </c>
      <c r="I391" s="81">
        <v>10.14</v>
      </c>
    </row>
    <row r="392" spans="3:9">
      <c r="C392" s="82" t="s">
        <v>1626</v>
      </c>
      <c r="D392" s="81" t="s">
        <v>1652</v>
      </c>
      <c r="F392" s="82" t="s">
        <v>991</v>
      </c>
      <c r="G392" s="84">
        <v>10.210000000000001</v>
      </c>
      <c r="H392" s="84">
        <v>10.17</v>
      </c>
      <c r="I392" s="81">
        <v>10.14</v>
      </c>
    </row>
    <row r="393" spans="3:9">
      <c r="C393" s="82" t="s">
        <v>1626</v>
      </c>
      <c r="D393" s="81" t="s">
        <v>1651</v>
      </c>
      <c r="F393" s="82" t="s">
        <v>984</v>
      </c>
      <c r="G393" s="84">
        <v>10.210000000000001</v>
      </c>
      <c r="H393" s="84">
        <v>10.17</v>
      </c>
      <c r="I393" s="81">
        <v>10.14</v>
      </c>
    </row>
    <row r="394" spans="3:9">
      <c r="C394" s="82" t="s">
        <v>1626</v>
      </c>
      <c r="D394" s="81" t="s">
        <v>1650</v>
      </c>
      <c r="F394" s="82" t="s">
        <v>979</v>
      </c>
      <c r="G394" s="84">
        <v>10.210000000000001</v>
      </c>
      <c r="H394" s="84">
        <v>10.17</v>
      </c>
      <c r="I394" s="81">
        <v>10.14</v>
      </c>
    </row>
    <row r="395" spans="3:9">
      <c r="C395" s="82" t="s">
        <v>1626</v>
      </c>
      <c r="D395" s="81" t="s">
        <v>1649</v>
      </c>
      <c r="F395" s="82" t="s">
        <v>977</v>
      </c>
      <c r="G395" s="84">
        <v>10.210000000000001</v>
      </c>
      <c r="H395" s="84">
        <v>10.17</v>
      </c>
      <c r="I395" s="81">
        <v>10.14</v>
      </c>
    </row>
    <row r="396" spans="3:9">
      <c r="C396" s="82" t="s">
        <v>1626</v>
      </c>
      <c r="D396" s="81" t="s">
        <v>1648</v>
      </c>
      <c r="F396" s="82" t="s">
        <v>976</v>
      </c>
      <c r="G396" s="84">
        <v>10.210000000000001</v>
      </c>
      <c r="H396" s="84">
        <v>10.17</v>
      </c>
      <c r="I396" s="81">
        <v>10.14</v>
      </c>
    </row>
    <row r="397" spans="3:9">
      <c r="C397" s="82" t="s">
        <v>1626</v>
      </c>
      <c r="D397" s="81" t="s">
        <v>1647</v>
      </c>
      <c r="F397" s="82" t="s">
        <v>975</v>
      </c>
      <c r="G397" s="84">
        <v>10.210000000000001</v>
      </c>
      <c r="H397" s="84">
        <v>10.17</v>
      </c>
      <c r="I397" s="81">
        <v>10.14</v>
      </c>
    </row>
    <row r="398" spans="3:9">
      <c r="C398" s="82" t="s">
        <v>1626</v>
      </c>
      <c r="D398" s="81" t="s">
        <v>1646</v>
      </c>
      <c r="F398" s="82" t="s">
        <v>974</v>
      </c>
      <c r="G398" s="84">
        <v>10.210000000000001</v>
      </c>
      <c r="H398" s="84">
        <v>10.17</v>
      </c>
      <c r="I398" s="81">
        <v>10.14</v>
      </c>
    </row>
    <row r="399" spans="3:9">
      <c r="C399" s="82" t="s">
        <v>1626</v>
      </c>
      <c r="D399" s="81" t="s">
        <v>1645</v>
      </c>
      <c r="F399" s="82" t="s">
        <v>973</v>
      </c>
      <c r="G399" s="84">
        <v>10.210000000000001</v>
      </c>
      <c r="H399" s="84">
        <v>10.17</v>
      </c>
      <c r="I399" s="81">
        <v>10.14</v>
      </c>
    </row>
    <row r="400" spans="3:9">
      <c r="C400" s="82" t="s">
        <v>1626</v>
      </c>
      <c r="D400" s="81" t="s">
        <v>1644</v>
      </c>
      <c r="F400" s="82" t="s">
        <v>972</v>
      </c>
      <c r="G400" s="84">
        <v>10.210000000000001</v>
      </c>
      <c r="H400" s="84">
        <v>10.17</v>
      </c>
      <c r="I400" s="81">
        <v>10.14</v>
      </c>
    </row>
    <row r="401" spans="3:9">
      <c r="C401" s="82" t="s">
        <v>1626</v>
      </c>
      <c r="D401" s="81" t="s">
        <v>1643</v>
      </c>
      <c r="F401" s="82" t="s">
        <v>958</v>
      </c>
      <c r="G401" s="84">
        <v>10.210000000000001</v>
      </c>
      <c r="H401" s="84">
        <v>10.17</v>
      </c>
      <c r="I401" s="81">
        <v>10.14</v>
      </c>
    </row>
    <row r="402" spans="3:9">
      <c r="C402" s="82" t="s">
        <v>1626</v>
      </c>
      <c r="D402" s="81" t="s">
        <v>1642</v>
      </c>
      <c r="F402" s="82" t="s">
        <v>1641</v>
      </c>
      <c r="G402" s="84">
        <v>10.210000000000001</v>
      </c>
      <c r="H402" s="84">
        <v>10.17</v>
      </c>
      <c r="I402" s="81">
        <v>10.14</v>
      </c>
    </row>
    <row r="403" spans="3:9">
      <c r="C403" s="82" t="s">
        <v>1626</v>
      </c>
      <c r="D403" s="81" t="s">
        <v>1640</v>
      </c>
      <c r="F403" s="82" t="s">
        <v>952</v>
      </c>
      <c r="G403" s="84">
        <v>10.210000000000001</v>
      </c>
      <c r="H403" s="84">
        <v>10.17</v>
      </c>
      <c r="I403" s="81">
        <v>10.14</v>
      </c>
    </row>
    <row r="404" spans="3:9">
      <c r="C404" s="82" t="s">
        <v>1626</v>
      </c>
      <c r="D404" s="81" t="s">
        <v>1639</v>
      </c>
      <c r="F404" s="82" t="s">
        <v>951</v>
      </c>
      <c r="G404" s="84">
        <v>10.210000000000001</v>
      </c>
      <c r="H404" s="84">
        <v>10.17</v>
      </c>
      <c r="I404" s="81">
        <v>10.14</v>
      </c>
    </row>
    <row r="405" spans="3:9">
      <c r="C405" s="82" t="s">
        <v>1626</v>
      </c>
      <c r="D405" s="81" t="s">
        <v>1638</v>
      </c>
      <c r="F405" s="82" t="s">
        <v>1637</v>
      </c>
      <c r="G405" s="84">
        <v>10.210000000000001</v>
      </c>
      <c r="H405" s="84">
        <v>10.17</v>
      </c>
      <c r="I405" s="81">
        <v>10.14</v>
      </c>
    </row>
    <row r="406" spans="3:9">
      <c r="C406" s="82" t="s">
        <v>1626</v>
      </c>
      <c r="D406" s="81" t="s">
        <v>1636</v>
      </c>
      <c r="F406" s="82" t="s">
        <v>949</v>
      </c>
      <c r="G406" s="84">
        <v>10.210000000000001</v>
      </c>
      <c r="H406" s="84">
        <v>10.17</v>
      </c>
      <c r="I406" s="81">
        <v>10.14</v>
      </c>
    </row>
    <row r="407" spans="3:9">
      <c r="C407" s="82" t="s">
        <v>1626</v>
      </c>
      <c r="D407" s="81" t="s">
        <v>1635</v>
      </c>
      <c r="F407" s="82" t="s">
        <v>1634</v>
      </c>
      <c r="G407" s="84">
        <v>10.210000000000001</v>
      </c>
      <c r="H407" s="84">
        <v>10.17</v>
      </c>
      <c r="I407" s="81">
        <v>10.14</v>
      </c>
    </row>
    <row r="408" spans="3:9">
      <c r="C408" s="82" t="s">
        <v>1626</v>
      </c>
      <c r="D408" s="81" t="s">
        <v>1633</v>
      </c>
      <c r="F408" s="82" t="s">
        <v>1632</v>
      </c>
      <c r="G408" s="84">
        <v>10.210000000000001</v>
      </c>
      <c r="H408" s="84">
        <v>10.17</v>
      </c>
      <c r="I408" s="81">
        <v>10.14</v>
      </c>
    </row>
    <row r="409" spans="3:9">
      <c r="C409" s="82" t="s">
        <v>1626</v>
      </c>
      <c r="D409" s="81" t="s">
        <v>1631</v>
      </c>
      <c r="F409" s="82" t="s">
        <v>925</v>
      </c>
      <c r="G409" s="84">
        <v>10.210000000000001</v>
      </c>
      <c r="H409" s="84">
        <v>10.17</v>
      </c>
      <c r="I409" s="81">
        <v>10.14</v>
      </c>
    </row>
    <row r="410" spans="3:9">
      <c r="C410" s="82" t="s">
        <v>1626</v>
      </c>
      <c r="D410" s="81" t="s">
        <v>1630</v>
      </c>
      <c r="F410" s="82" t="s">
        <v>870</v>
      </c>
      <c r="G410" s="84">
        <v>10.210000000000001</v>
      </c>
      <c r="H410" s="84">
        <v>10.17</v>
      </c>
      <c r="I410" s="81">
        <v>10.14</v>
      </c>
    </row>
    <row r="411" spans="3:9">
      <c r="C411" s="82" t="s">
        <v>1626</v>
      </c>
      <c r="D411" s="81" t="s">
        <v>1629</v>
      </c>
      <c r="F411" s="82" t="s">
        <v>861</v>
      </c>
      <c r="G411" s="84">
        <v>10.210000000000001</v>
      </c>
      <c r="H411" s="84">
        <v>10.17</v>
      </c>
      <c r="I411" s="81">
        <v>10.14</v>
      </c>
    </row>
    <row r="412" spans="3:9">
      <c r="C412" s="82" t="s">
        <v>1626</v>
      </c>
      <c r="D412" s="81" t="s">
        <v>1628</v>
      </c>
      <c r="F412" s="82" t="s">
        <v>857</v>
      </c>
      <c r="G412" s="84">
        <v>10.210000000000001</v>
      </c>
      <c r="H412" s="84">
        <v>10.17</v>
      </c>
      <c r="I412" s="81">
        <v>10.14</v>
      </c>
    </row>
    <row r="413" spans="3:9">
      <c r="C413" s="82" t="s">
        <v>1626</v>
      </c>
      <c r="D413" s="81" t="s">
        <v>1627</v>
      </c>
      <c r="F413" s="82" t="s">
        <v>856</v>
      </c>
      <c r="G413" s="84">
        <v>10.210000000000001</v>
      </c>
      <c r="H413" s="84">
        <v>10.17</v>
      </c>
      <c r="I413" s="81">
        <v>10.14</v>
      </c>
    </row>
    <row r="414" spans="3:9">
      <c r="C414" s="82" t="s">
        <v>1626</v>
      </c>
      <c r="D414" s="81" t="s">
        <v>1625</v>
      </c>
      <c r="F414" s="82" t="s">
        <v>840</v>
      </c>
      <c r="G414" s="84">
        <v>10.210000000000001</v>
      </c>
      <c r="H414" s="84">
        <v>10.17</v>
      </c>
      <c r="I414" s="81">
        <v>10.14</v>
      </c>
    </row>
    <row r="415" spans="3:9">
      <c r="C415" s="82" t="s">
        <v>1580</v>
      </c>
      <c r="D415" s="81" t="s">
        <v>1624</v>
      </c>
      <c r="F415" s="82" t="s">
        <v>839</v>
      </c>
      <c r="G415" s="84">
        <v>10.210000000000001</v>
      </c>
      <c r="H415" s="84">
        <v>10.17</v>
      </c>
      <c r="I415" s="81">
        <v>10.14</v>
      </c>
    </row>
    <row r="416" spans="3:9">
      <c r="C416" s="82" t="s">
        <v>1580</v>
      </c>
      <c r="D416" s="81" t="s">
        <v>1623</v>
      </c>
      <c r="F416" s="82" t="s">
        <v>828</v>
      </c>
      <c r="G416" s="84">
        <v>10.210000000000001</v>
      </c>
      <c r="H416" s="84">
        <v>10.17</v>
      </c>
      <c r="I416" s="81">
        <v>10.14</v>
      </c>
    </row>
    <row r="417" spans="3:9">
      <c r="C417" s="82" t="s">
        <v>1580</v>
      </c>
      <c r="D417" s="81" t="s">
        <v>1622</v>
      </c>
      <c r="F417" s="82" t="s">
        <v>826</v>
      </c>
      <c r="G417" s="84">
        <v>10.210000000000001</v>
      </c>
      <c r="H417" s="84">
        <v>10.17</v>
      </c>
      <c r="I417" s="81">
        <v>10.14</v>
      </c>
    </row>
    <row r="418" spans="3:9">
      <c r="C418" s="82" t="s">
        <v>1580</v>
      </c>
      <c r="D418" s="81" t="s">
        <v>1621</v>
      </c>
      <c r="F418" s="82" t="s">
        <v>825</v>
      </c>
      <c r="G418" s="84">
        <v>10.210000000000001</v>
      </c>
      <c r="H418" s="84">
        <v>10.17</v>
      </c>
      <c r="I418" s="81">
        <v>10.14</v>
      </c>
    </row>
    <row r="419" spans="3:9">
      <c r="C419" s="82" t="s">
        <v>1580</v>
      </c>
      <c r="D419" s="81" t="s">
        <v>1620</v>
      </c>
      <c r="F419" s="82" t="s">
        <v>824</v>
      </c>
      <c r="G419" s="84">
        <v>10.210000000000001</v>
      </c>
      <c r="H419" s="84">
        <v>10.17</v>
      </c>
      <c r="I419" s="81">
        <v>10.14</v>
      </c>
    </row>
    <row r="420" spans="3:9">
      <c r="C420" s="82" t="s">
        <v>1580</v>
      </c>
      <c r="D420" s="81" t="s">
        <v>1619</v>
      </c>
      <c r="F420" s="82" t="s">
        <v>822</v>
      </c>
      <c r="G420" s="84">
        <v>10.210000000000001</v>
      </c>
      <c r="H420" s="84">
        <v>10.17</v>
      </c>
      <c r="I420" s="81">
        <v>10.14</v>
      </c>
    </row>
    <row r="421" spans="3:9">
      <c r="C421" s="82" t="s">
        <v>1580</v>
      </c>
      <c r="D421" s="81" t="s">
        <v>1618</v>
      </c>
      <c r="F421" s="82" t="s">
        <v>820</v>
      </c>
      <c r="G421" s="84">
        <v>10.210000000000001</v>
      </c>
      <c r="H421" s="84">
        <v>10.17</v>
      </c>
      <c r="I421" s="81">
        <v>10.14</v>
      </c>
    </row>
    <row r="422" spans="3:9">
      <c r="C422" s="82" t="s">
        <v>1580</v>
      </c>
      <c r="D422" s="81" t="s">
        <v>1617</v>
      </c>
      <c r="F422" s="82" t="s">
        <v>819</v>
      </c>
      <c r="G422" s="84">
        <v>10.210000000000001</v>
      </c>
      <c r="H422" s="84">
        <v>10.17</v>
      </c>
      <c r="I422" s="81">
        <v>10.14</v>
      </c>
    </row>
    <row r="423" spans="3:9">
      <c r="C423" s="82" t="s">
        <v>1580</v>
      </c>
      <c r="D423" s="81" t="s">
        <v>1616</v>
      </c>
      <c r="F423" s="82" t="s">
        <v>818</v>
      </c>
      <c r="G423" s="84">
        <v>10.210000000000001</v>
      </c>
      <c r="H423" s="84">
        <v>10.17</v>
      </c>
      <c r="I423" s="81">
        <v>10.14</v>
      </c>
    </row>
    <row r="424" spans="3:9">
      <c r="C424" s="82" t="s">
        <v>1580</v>
      </c>
      <c r="D424" s="81" t="s">
        <v>1615</v>
      </c>
      <c r="F424" s="82" t="s">
        <v>817</v>
      </c>
      <c r="G424" s="84">
        <v>10.210000000000001</v>
      </c>
      <c r="H424" s="84">
        <v>10.17</v>
      </c>
      <c r="I424" s="81">
        <v>10.14</v>
      </c>
    </row>
    <row r="425" spans="3:9">
      <c r="C425" s="82" t="s">
        <v>1580</v>
      </c>
      <c r="D425" s="81" t="s">
        <v>1614</v>
      </c>
      <c r="F425" s="82" t="s">
        <v>816</v>
      </c>
      <c r="G425" s="84">
        <v>10.210000000000001</v>
      </c>
      <c r="H425" s="84">
        <v>10.17</v>
      </c>
      <c r="I425" s="81">
        <v>10.14</v>
      </c>
    </row>
    <row r="426" spans="3:9">
      <c r="C426" s="82" t="s">
        <v>1580</v>
      </c>
      <c r="D426" s="81" t="s">
        <v>1613</v>
      </c>
      <c r="F426" s="82" t="s">
        <v>815</v>
      </c>
      <c r="G426" s="84">
        <v>10.210000000000001</v>
      </c>
      <c r="H426" s="84">
        <v>10.17</v>
      </c>
      <c r="I426" s="81">
        <v>10.14</v>
      </c>
    </row>
    <row r="427" spans="3:9">
      <c r="C427" s="82" t="s">
        <v>1580</v>
      </c>
      <c r="D427" s="81" t="s">
        <v>1612</v>
      </c>
      <c r="F427" s="82" t="s">
        <v>814</v>
      </c>
      <c r="G427" s="84">
        <v>10.210000000000001</v>
      </c>
      <c r="H427" s="84">
        <v>10.17</v>
      </c>
      <c r="I427" s="81">
        <v>10.14</v>
      </c>
    </row>
    <row r="428" spans="3:9">
      <c r="C428" s="82" t="s">
        <v>1580</v>
      </c>
      <c r="D428" s="81" t="s">
        <v>1611</v>
      </c>
      <c r="F428" s="82" t="s">
        <v>813</v>
      </c>
      <c r="G428" s="84">
        <v>10.210000000000001</v>
      </c>
      <c r="H428" s="84">
        <v>10.17</v>
      </c>
      <c r="I428" s="81">
        <v>10.14</v>
      </c>
    </row>
    <row r="429" spans="3:9">
      <c r="C429" s="82" t="s">
        <v>1580</v>
      </c>
      <c r="D429" s="81" t="s">
        <v>1610</v>
      </c>
      <c r="F429" s="82" t="s">
        <v>812</v>
      </c>
      <c r="G429" s="84">
        <v>10.210000000000001</v>
      </c>
      <c r="H429" s="84">
        <v>10.17</v>
      </c>
      <c r="I429" s="81">
        <v>10.14</v>
      </c>
    </row>
    <row r="430" spans="3:9">
      <c r="C430" s="82" t="s">
        <v>1580</v>
      </c>
      <c r="D430" s="81" t="s">
        <v>1609</v>
      </c>
      <c r="F430" s="82" t="s">
        <v>811</v>
      </c>
      <c r="G430" s="84">
        <v>10.210000000000001</v>
      </c>
      <c r="H430" s="84">
        <v>10.17</v>
      </c>
      <c r="I430" s="81">
        <v>10.14</v>
      </c>
    </row>
    <row r="431" spans="3:9">
      <c r="C431" s="82" t="s">
        <v>1580</v>
      </c>
      <c r="D431" s="81" t="s">
        <v>1608</v>
      </c>
      <c r="F431" s="82" t="s">
        <v>810</v>
      </c>
      <c r="G431" s="84">
        <v>10.210000000000001</v>
      </c>
      <c r="H431" s="84">
        <v>10.17</v>
      </c>
      <c r="I431" s="81">
        <v>10.14</v>
      </c>
    </row>
    <row r="432" spans="3:9">
      <c r="C432" s="82" t="s">
        <v>1580</v>
      </c>
      <c r="D432" s="81" t="s">
        <v>1607</v>
      </c>
      <c r="F432" s="82" t="s">
        <v>809</v>
      </c>
      <c r="G432" s="84">
        <v>10.210000000000001</v>
      </c>
      <c r="H432" s="84">
        <v>10.17</v>
      </c>
      <c r="I432" s="81">
        <v>10.14</v>
      </c>
    </row>
    <row r="433" spans="3:9">
      <c r="C433" s="82" t="s">
        <v>1580</v>
      </c>
      <c r="D433" s="81" t="s">
        <v>1606</v>
      </c>
      <c r="F433" s="82" t="s">
        <v>806</v>
      </c>
      <c r="G433" s="84">
        <v>10.210000000000001</v>
      </c>
      <c r="H433" s="84">
        <v>10.17</v>
      </c>
      <c r="I433" s="81">
        <v>10.14</v>
      </c>
    </row>
    <row r="434" spans="3:9">
      <c r="C434" s="82" t="s">
        <v>1580</v>
      </c>
      <c r="D434" s="81" t="s">
        <v>1605</v>
      </c>
      <c r="F434" s="82" t="s">
        <v>805</v>
      </c>
      <c r="G434" s="84">
        <v>10.210000000000001</v>
      </c>
      <c r="H434" s="84">
        <v>10.17</v>
      </c>
      <c r="I434" s="81">
        <v>10.14</v>
      </c>
    </row>
    <row r="435" spans="3:9">
      <c r="C435" s="82" t="s">
        <v>1580</v>
      </c>
      <c r="D435" s="81" t="s">
        <v>1604</v>
      </c>
      <c r="F435" s="82" t="s">
        <v>804</v>
      </c>
      <c r="G435" s="84">
        <v>10.210000000000001</v>
      </c>
      <c r="H435" s="84">
        <v>10.17</v>
      </c>
      <c r="I435" s="81">
        <v>10.14</v>
      </c>
    </row>
    <row r="436" spans="3:9">
      <c r="C436" s="82" t="s">
        <v>1580</v>
      </c>
      <c r="D436" s="81" t="s">
        <v>1603</v>
      </c>
      <c r="F436" s="82" t="s">
        <v>803</v>
      </c>
      <c r="G436" s="84">
        <v>10.210000000000001</v>
      </c>
      <c r="H436" s="84">
        <v>10.17</v>
      </c>
      <c r="I436" s="81">
        <v>10.14</v>
      </c>
    </row>
    <row r="437" spans="3:9">
      <c r="C437" s="82" t="s">
        <v>1580</v>
      </c>
      <c r="D437" s="81" t="s">
        <v>1602</v>
      </c>
      <c r="F437" s="82" t="s">
        <v>802</v>
      </c>
      <c r="G437" s="84">
        <v>10.210000000000001</v>
      </c>
      <c r="H437" s="84">
        <v>10.17</v>
      </c>
      <c r="I437" s="81">
        <v>10.14</v>
      </c>
    </row>
    <row r="438" spans="3:9">
      <c r="C438" s="82" t="s">
        <v>1580</v>
      </c>
      <c r="D438" s="81" t="s">
        <v>1601</v>
      </c>
      <c r="F438" s="82" t="s">
        <v>720</v>
      </c>
      <c r="G438" s="84">
        <v>10.210000000000001</v>
      </c>
      <c r="H438" s="84">
        <v>10.17</v>
      </c>
      <c r="I438" s="81">
        <v>10.14</v>
      </c>
    </row>
    <row r="439" spans="3:9">
      <c r="C439" s="82" t="s">
        <v>1580</v>
      </c>
      <c r="D439" s="81" t="s">
        <v>1600</v>
      </c>
      <c r="F439" s="82" t="s">
        <v>682</v>
      </c>
      <c r="G439" s="84">
        <v>10.210000000000001</v>
      </c>
      <c r="H439" s="84">
        <v>10.17</v>
      </c>
      <c r="I439" s="81">
        <v>10.14</v>
      </c>
    </row>
    <row r="440" spans="3:9">
      <c r="C440" s="82" t="s">
        <v>1580</v>
      </c>
      <c r="D440" s="81" t="s">
        <v>1599</v>
      </c>
      <c r="F440" s="82" t="s">
        <v>681</v>
      </c>
      <c r="G440" s="84">
        <v>10.210000000000001</v>
      </c>
      <c r="H440" s="84">
        <v>10.17</v>
      </c>
      <c r="I440" s="81">
        <v>10.14</v>
      </c>
    </row>
    <row r="441" spans="3:9">
      <c r="C441" s="82" t="s">
        <v>1580</v>
      </c>
      <c r="D441" s="81" t="s">
        <v>1598</v>
      </c>
      <c r="F441" s="82" t="s">
        <v>677</v>
      </c>
      <c r="G441" s="84">
        <v>10.210000000000001</v>
      </c>
      <c r="H441" s="84">
        <v>10.17</v>
      </c>
      <c r="I441" s="81">
        <v>10.14</v>
      </c>
    </row>
    <row r="442" spans="3:9">
      <c r="C442" s="82" t="s">
        <v>1580</v>
      </c>
      <c r="D442" s="81" t="s">
        <v>1597</v>
      </c>
      <c r="F442" s="82" t="s">
        <v>1596</v>
      </c>
      <c r="G442" s="84">
        <v>10.210000000000001</v>
      </c>
      <c r="H442" s="84">
        <v>10.17</v>
      </c>
      <c r="I442" s="81">
        <v>10.14</v>
      </c>
    </row>
    <row r="443" spans="3:9">
      <c r="C443" s="82" t="s">
        <v>1580</v>
      </c>
      <c r="D443" s="81" t="s">
        <v>1595</v>
      </c>
      <c r="F443" s="82" t="s">
        <v>675</v>
      </c>
      <c r="G443" s="84">
        <v>10.210000000000001</v>
      </c>
      <c r="H443" s="84">
        <v>10.17</v>
      </c>
      <c r="I443" s="81">
        <v>10.14</v>
      </c>
    </row>
    <row r="444" spans="3:9">
      <c r="C444" s="82" t="s">
        <v>1580</v>
      </c>
      <c r="D444" s="81" t="s">
        <v>1594</v>
      </c>
      <c r="F444" s="82" t="s">
        <v>657</v>
      </c>
      <c r="G444" s="84">
        <v>10.210000000000001</v>
      </c>
      <c r="H444" s="84">
        <v>10.17</v>
      </c>
      <c r="I444" s="81">
        <v>10.14</v>
      </c>
    </row>
    <row r="445" spans="3:9">
      <c r="C445" s="82" t="s">
        <v>1580</v>
      </c>
      <c r="D445" s="81" t="s">
        <v>1593</v>
      </c>
      <c r="F445" s="82" t="s">
        <v>648</v>
      </c>
      <c r="G445" s="84">
        <v>10.210000000000001</v>
      </c>
      <c r="H445" s="84">
        <v>10.17</v>
      </c>
      <c r="I445" s="81">
        <v>10.14</v>
      </c>
    </row>
    <row r="446" spans="3:9">
      <c r="C446" s="82" t="s">
        <v>1580</v>
      </c>
      <c r="D446" s="81" t="s">
        <v>1592</v>
      </c>
      <c r="F446" s="82" t="s">
        <v>623</v>
      </c>
      <c r="G446" s="84">
        <v>10.210000000000001</v>
      </c>
      <c r="H446" s="84">
        <v>10.17</v>
      </c>
      <c r="I446" s="81">
        <v>10.14</v>
      </c>
    </row>
    <row r="447" spans="3:9">
      <c r="C447" s="82" t="s">
        <v>1580</v>
      </c>
      <c r="D447" s="81" t="s">
        <v>1591</v>
      </c>
      <c r="F447" s="82" t="s">
        <v>549</v>
      </c>
      <c r="G447" s="84">
        <v>10.210000000000001</v>
      </c>
      <c r="H447" s="84">
        <v>10.17</v>
      </c>
      <c r="I447" s="81">
        <v>10.14</v>
      </c>
    </row>
    <row r="448" spans="3:9">
      <c r="C448" s="82" t="s">
        <v>1580</v>
      </c>
      <c r="D448" s="81" t="s">
        <v>1590</v>
      </c>
      <c r="F448" s="82" t="s">
        <v>544</v>
      </c>
      <c r="G448" s="84">
        <v>10.210000000000001</v>
      </c>
      <c r="H448" s="84">
        <v>10.17</v>
      </c>
      <c r="I448" s="81">
        <v>10.14</v>
      </c>
    </row>
    <row r="449" spans="3:9">
      <c r="C449" s="82" t="s">
        <v>1580</v>
      </c>
      <c r="D449" s="81" t="s">
        <v>1589</v>
      </c>
      <c r="F449" s="82" t="s">
        <v>534</v>
      </c>
      <c r="G449" s="84">
        <v>10.210000000000001</v>
      </c>
      <c r="H449" s="84">
        <v>10.17</v>
      </c>
      <c r="I449" s="81">
        <v>10.14</v>
      </c>
    </row>
    <row r="450" spans="3:9">
      <c r="C450" s="82" t="s">
        <v>1580</v>
      </c>
      <c r="D450" s="81" t="s">
        <v>1588</v>
      </c>
      <c r="F450" s="82" t="s">
        <v>529</v>
      </c>
      <c r="G450" s="84">
        <v>10.210000000000001</v>
      </c>
      <c r="H450" s="84">
        <v>10.17</v>
      </c>
      <c r="I450" s="81">
        <v>10.14</v>
      </c>
    </row>
    <row r="451" spans="3:9" ht="14.25" thickBot="1">
      <c r="C451" s="82" t="s">
        <v>1580</v>
      </c>
      <c r="D451" s="81" t="s">
        <v>1587</v>
      </c>
      <c r="F451" s="80" t="s">
        <v>466</v>
      </c>
      <c r="G451" s="83">
        <v>10.210000000000001</v>
      </c>
      <c r="H451" s="83">
        <v>10.17</v>
      </c>
      <c r="I451" s="79">
        <v>10.14</v>
      </c>
    </row>
    <row r="452" spans="3:9">
      <c r="C452" s="82" t="s">
        <v>1580</v>
      </c>
      <c r="D452" s="81" t="s">
        <v>1586</v>
      </c>
    </row>
    <row r="453" spans="3:9">
      <c r="C453" s="82" t="s">
        <v>1580</v>
      </c>
      <c r="D453" s="81" t="s">
        <v>1585</v>
      </c>
    </row>
    <row r="454" spans="3:9">
      <c r="C454" s="82" t="s">
        <v>1580</v>
      </c>
      <c r="D454" s="81" t="s">
        <v>1584</v>
      </c>
    </row>
    <row r="455" spans="3:9">
      <c r="C455" s="82" t="s">
        <v>1580</v>
      </c>
      <c r="D455" s="81" t="s">
        <v>1583</v>
      </c>
    </row>
    <row r="456" spans="3:9">
      <c r="C456" s="82" t="s">
        <v>1580</v>
      </c>
      <c r="D456" s="81" t="s">
        <v>1582</v>
      </c>
    </row>
    <row r="457" spans="3:9">
      <c r="C457" s="82" t="s">
        <v>1580</v>
      </c>
      <c r="D457" s="81" t="s">
        <v>1581</v>
      </c>
    </row>
    <row r="458" spans="3:9">
      <c r="C458" s="82" t="s">
        <v>1580</v>
      </c>
      <c r="D458" s="81" t="s">
        <v>1579</v>
      </c>
    </row>
    <row r="459" spans="3:9">
      <c r="C459" s="82" t="s">
        <v>1554</v>
      </c>
      <c r="D459" s="81" t="s">
        <v>1578</v>
      </c>
    </row>
    <row r="460" spans="3:9">
      <c r="C460" s="82" t="s">
        <v>1554</v>
      </c>
      <c r="D460" s="81" t="s">
        <v>1577</v>
      </c>
    </row>
    <row r="461" spans="3:9">
      <c r="C461" s="82" t="s">
        <v>1554</v>
      </c>
      <c r="D461" s="81" t="s">
        <v>1576</v>
      </c>
    </row>
    <row r="462" spans="3:9">
      <c r="C462" s="82" t="s">
        <v>1554</v>
      </c>
      <c r="D462" s="81" t="s">
        <v>1575</v>
      </c>
    </row>
    <row r="463" spans="3:9">
      <c r="C463" s="82" t="s">
        <v>1554</v>
      </c>
      <c r="D463" s="81" t="s">
        <v>1574</v>
      </c>
    </row>
    <row r="464" spans="3:9">
      <c r="C464" s="82" t="s">
        <v>1554</v>
      </c>
      <c r="D464" s="81" t="s">
        <v>1573</v>
      </c>
    </row>
    <row r="465" spans="3:4">
      <c r="C465" s="82" t="s">
        <v>1554</v>
      </c>
      <c r="D465" s="81" t="s">
        <v>1572</v>
      </c>
    </row>
    <row r="466" spans="3:4">
      <c r="C466" s="82" t="s">
        <v>1554</v>
      </c>
      <c r="D466" s="81" t="s">
        <v>1571</v>
      </c>
    </row>
    <row r="467" spans="3:4">
      <c r="C467" s="82" t="s">
        <v>1554</v>
      </c>
      <c r="D467" s="81" t="s">
        <v>1570</v>
      </c>
    </row>
    <row r="468" spans="3:4">
      <c r="C468" s="82" t="s">
        <v>1554</v>
      </c>
      <c r="D468" s="81" t="s">
        <v>1569</v>
      </c>
    </row>
    <row r="469" spans="3:4">
      <c r="C469" s="82" t="s">
        <v>1554</v>
      </c>
      <c r="D469" s="81" t="s">
        <v>1568</v>
      </c>
    </row>
    <row r="470" spans="3:4">
      <c r="C470" s="82" t="s">
        <v>1554</v>
      </c>
      <c r="D470" s="81" t="s">
        <v>1567</v>
      </c>
    </row>
    <row r="471" spans="3:4">
      <c r="C471" s="82" t="s">
        <v>1554</v>
      </c>
      <c r="D471" s="81" t="s">
        <v>1566</v>
      </c>
    </row>
    <row r="472" spans="3:4">
      <c r="C472" s="82" t="s">
        <v>1554</v>
      </c>
      <c r="D472" s="81" t="s">
        <v>1565</v>
      </c>
    </row>
    <row r="473" spans="3:4">
      <c r="C473" s="82" t="s">
        <v>1554</v>
      </c>
      <c r="D473" s="81" t="s">
        <v>1564</v>
      </c>
    </row>
    <row r="474" spans="3:4">
      <c r="C474" s="82" t="s">
        <v>1554</v>
      </c>
      <c r="D474" s="81" t="s">
        <v>1563</v>
      </c>
    </row>
    <row r="475" spans="3:4">
      <c r="C475" s="82" t="s">
        <v>1554</v>
      </c>
      <c r="D475" s="81" t="s">
        <v>1562</v>
      </c>
    </row>
    <row r="476" spans="3:4">
      <c r="C476" s="82" t="s">
        <v>1554</v>
      </c>
      <c r="D476" s="81" t="s">
        <v>1561</v>
      </c>
    </row>
    <row r="477" spans="3:4">
      <c r="C477" s="82" t="s">
        <v>1554</v>
      </c>
      <c r="D477" s="81" t="s">
        <v>1560</v>
      </c>
    </row>
    <row r="478" spans="3:4">
      <c r="C478" s="82" t="s">
        <v>1554</v>
      </c>
      <c r="D478" s="81" t="s">
        <v>1559</v>
      </c>
    </row>
    <row r="479" spans="3:4">
      <c r="C479" s="82" t="s">
        <v>1554</v>
      </c>
      <c r="D479" s="81" t="s">
        <v>1558</v>
      </c>
    </row>
    <row r="480" spans="3:4">
      <c r="C480" s="82" t="s">
        <v>1554</v>
      </c>
      <c r="D480" s="81" t="s">
        <v>1557</v>
      </c>
    </row>
    <row r="481" spans="3:4">
      <c r="C481" s="82" t="s">
        <v>1554</v>
      </c>
      <c r="D481" s="81" t="s">
        <v>1556</v>
      </c>
    </row>
    <row r="482" spans="3:4">
      <c r="C482" s="82" t="s">
        <v>1554</v>
      </c>
      <c r="D482" s="81" t="s">
        <v>1555</v>
      </c>
    </row>
    <row r="483" spans="3:4">
      <c r="C483" s="82" t="s">
        <v>1554</v>
      </c>
      <c r="D483" s="81" t="s">
        <v>1553</v>
      </c>
    </row>
    <row r="484" spans="3:4">
      <c r="C484" s="82" t="s">
        <v>1521</v>
      </c>
      <c r="D484" s="81" t="s">
        <v>1552</v>
      </c>
    </row>
    <row r="485" spans="3:4">
      <c r="C485" s="82" t="s">
        <v>1521</v>
      </c>
      <c r="D485" s="81" t="s">
        <v>1551</v>
      </c>
    </row>
    <row r="486" spans="3:4">
      <c r="C486" s="82" t="s">
        <v>1521</v>
      </c>
      <c r="D486" s="81" t="s">
        <v>1550</v>
      </c>
    </row>
    <row r="487" spans="3:4">
      <c r="C487" s="82" t="s">
        <v>1521</v>
      </c>
      <c r="D487" s="81" t="s">
        <v>1549</v>
      </c>
    </row>
    <row r="488" spans="3:4">
      <c r="C488" s="82" t="s">
        <v>1521</v>
      </c>
      <c r="D488" s="81" t="s">
        <v>1548</v>
      </c>
    </row>
    <row r="489" spans="3:4">
      <c r="C489" s="82" t="s">
        <v>1521</v>
      </c>
      <c r="D489" s="81" t="s">
        <v>1547</v>
      </c>
    </row>
    <row r="490" spans="3:4">
      <c r="C490" s="82" t="s">
        <v>1521</v>
      </c>
      <c r="D490" s="81" t="s">
        <v>1546</v>
      </c>
    </row>
    <row r="491" spans="3:4">
      <c r="C491" s="82" t="s">
        <v>1521</v>
      </c>
      <c r="D491" s="81" t="s">
        <v>1545</v>
      </c>
    </row>
    <row r="492" spans="3:4">
      <c r="C492" s="82" t="s">
        <v>1521</v>
      </c>
      <c r="D492" s="81" t="s">
        <v>1544</v>
      </c>
    </row>
    <row r="493" spans="3:4">
      <c r="C493" s="82" t="s">
        <v>1521</v>
      </c>
      <c r="D493" s="81" t="s">
        <v>1543</v>
      </c>
    </row>
    <row r="494" spans="3:4">
      <c r="C494" s="82" t="s">
        <v>1521</v>
      </c>
      <c r="D494" s="81" t="s">
        <v>1542</v>
      </c>
    </row>
    <row r="495" spans="3:4">
      <c r="C495" s="82" t="s">
        <v>1521</v>
      </c>
      <c r="D495" s="81" t="s">
        <v>1541</v>
      </c>
    </row>
    <row r="496" spans="3:4">
      <c r="C496" s="82" t="s">
        <v>1521</v>
      </c>
      <c r="D496" s="81" t="s">
        <v>1540</v>
      </c>
    </row>
    <row r="497" spans="3:4">
      <c r="C497" s="82" t="s">
        <v>1521</v>
      </c>
      <c r="D497" s="81" t="s">
        <v>1539</v>
      </c>
    </row>
    <row r="498" spans="3:4">
      <c r="C498" s="82" t="s">
        <v>1521</v>
      </c>
      <c r="D498" s="81" t="s">
        <v>1538</v>
      </c>
    </row>
    <row r="499" spans="3:4">
      <c r="C499" s="82" t="s">
        <v>1521</v>
      </c>
      <c r="D499" s="81" t="s">
        <v>1537</v>
      </c>
    </row>
    <row r="500" spans="3:4">
      <c r="C500" s="82" t="s">
        <v>1521</v>
      </c>
      <c r="D500" s="81" t="s">
        <v>1536</v>
      </c>
    </row>
    <row r="501" spans="3:4">
      <c r="C501" s="82" t="s">
        <v>1521</v>
      </c>
      <c r="D501" s="81" t="s">
        <v>1178</v>
      </c>
    </row>
    <row r="502" spans="3:4">
      <c r="C502" s="82" t="s">
        <v>1521</v>
      </c>
      <c r="D502" s="81" t="s">
        <v>1535</v>
      </c>
    </row>
    <row r="503" spans="3:4">
      <c r="C503" s="82" t="s">
        <v>1521</v>
      </c>
      <c r="D503" s="81" t="s">
        <v>1534</v>
      </c>
    </row>
    <row r="504" spans="3:4">
      <c r="C504" s="82" t="s">
        <v>1521</v>
      </c>
      <c r="D504" s="81" t="s">
        <v>1533</v>
      </c>
    </row>
    <row r="505" spans="3:4">
      <c r="C505" s="82" t="s">
        <v>1521</v>
      </c>
      <c r="D505" s="81" t="s">
        <v>1532</v>
      </c>
    </row>
    <row r="506" spans="3:4">
      <c r="C506" s="82" t="s">
        <v>1521</v>
      </c>
      <c r="D506" s="81" t="s">
        <v>1531</v>
      </c>
    </row>
    <row r="507" spans="3:4">
      <c r="C507" s="82" t="s">
        <v>1521</v>
      </c>
      <c r="D507" s="81" t="s">
        <v>1132</v>
      </c>
    </row>
    <row r="508" spans="3:4">
      <c r="C508" s="82" t="s">
        <v>1521</v>
      </c>
      <c r="D508" s="81" t="s">
        <v>1530</v>
      </c>
    </row>
    <row r="509" spans="3:4">
      <c r="C509" s="82" t="s">
        <v>1521</v>
      </c>
      <c r="D509" s="81" t="s">
        <v>1529</v>
      </c>
    </row>
    <row r="510" spans="3:4">
      <c r="C510" s="82" t="s">
        <v>1521</v>
      </c>
      <c r="D510" s="81" t="s">
        <v>1528</v>
      </c>
    </row>
    <row r="511" spans="3:4">
      <c r="C511" s="82" t="s">
        <v>1521</v>
      </c>
      <c r="D511" s="81" t="s">
        <v>1527</v>
      </c>
    </row>
    <row r="512" spans="3:4">
      <c r="C512" s="82" t="s">
        <v>1521</v>
      </c>
      <c r="D512" s="81" t="s">
        <v>1526</v>
      </c>
    </row>
    <row r="513" spans="3:4">
      <c r="C513" s="82" t="s">
        <v>1521</v>
      </c>
      <c r="D513" s="81" t="s">
        <v>1525</v>
      </c>
    </row>
    <row r="514" spans="3:4">
      <c r="C514" s="82" t="s">
        <v>1521</v>
      </c>
      <c r="D514" s="81" t="s">
        <v>1524</v>
      </c>
    </row>
    <row r="515" spans="3:4">
      <c r="C515" s="82" t="s">
        <v>1521</v>
      </c>
      <c r="D515" s="81" t="s">
        <v>970</v>
      </c>
    </row>
    <row r="516" spans="3:4">
      <c r="C516" s="82" t="s">
        <v>1521</v>
      </c>
      <c r="D516" s="81" t="s">
        <v>1523</v>
      </c>
    </row>
    <row r="517" spans="3:4">
      <c r="C517" s="82" t="s">
        <v>1521</v>
      </c>
      <c r="D517" s="81" t="s">
        <v>1522</v>
      </c>
    </row>
    <row r="518" spans="3:4">
      <c r="C518" s="82" t="s">
        <v>1521</v>
      </c>
      <c r="D518" s="81" t="s">
        <v>1520</v>
      </c>
    </row>
    <row r="519" spans="3:4">
      <c r="C519" s="82" t="s">
        <v>1458</v>
      </c>
      <c r="D519" s="81" t="s">
        <v>1519</v>
      </c>
    </row>
    <row r="520" spans="3:4">
      <c r="C520" s="82" t="s">
        <v>1458</v>
      </c>
      <c r="D520" s="81" t="s">
        <v>1518</v>
      </c>
    </row>
    <row r="521" spans="3:4">
      <c r="C521" s="82" t="s">
        <v>1458</v>
      </c>
      <c r="D521" s="81" t="s">
        <v>1517</v>
      </c>
    </row>
    <row r="522" spans="3:4">
      <c r="C522" s="82" t="s">
        <v>1458</v>
      </c>
      <c r="D522" s="81" t="s">
        <v>1516</v>
      </c>
    </row>
    <row r="523" spans="3:4">
      <c r="C523" s="82" t="s">
        <v>1458</v>
      </c>
      <c r="D523" s="81" t="s">
        <v>1515</v>
      </c>
    </row>
    <row r="524" spans="3:4">
      <c r="C524" s="82" t="s">
        <v>1458</v>
      </c>
      <c r="D524" s="81" t="s">
        <v>1514</v>
      </c>
    </row>
    <row r="525" spans="3:4">
      <c r="C525" s="82" t="s">
        <v>1458</v>
      </c>
      <c r="D525" s="81" t="s">
        <v>1513</v>
      </c>
    </row>
    <row r="526" spans="3:4">
      <c r="C526" s="82" t="s">
        <v>1458</v>
      </c>
      <c r="D526" s="81" t="s">
        <v>1512</v>
      </c>
    </row>
    <row r="527" spans="3:4">
      <c r="C527" s="82" t="s">
        <v>1458</v>
      </c>
      <c r="D527" s="81" t="s">
        <v>1511</v>
      </c>
    </row>
    <row r="528" spans="3:4">
      <c r="C528" s="82" t="s">
        <v>1458</v>
      </c>
      <c r="D528" s="81" t="s">
        <v>1510</v>
      </c>
    </row>
    <row r="529" spans="3:4">
      <c r="C529" s="82" t="s">
        <v>1458</v>
      </c>
      <c r="D529" s="81" t="s">
        <v>1509</v>
      </c>
    </row>
    <row r="530" spans="3:4">
      <c r="C530" s="82" t="s">
        <v>1458</v>
      </c>
      <c r="D530" s="81" t="s">
        <v>1508</v>
      </c>
    </row>
    <row r="531" spans="3:4">
      <c r="C531" s="82" t="s">
        <v>1458</v>
      </c>
      <c r="D531" s="81" t="s">
        <v>1507</v>
      </c>
    </row>
    <row r="532" spans="3:4">
      <c r="C532" s="82" t="s">
        <v>1458</v>
      </c>
      <c r="D532" s="81" t="s">
        <v>1506</v>
      </c>
    </row>
    <row r="533" spans="3:4">
      <c r="C533" s="82" t="s">
        <v>1458</v>
      </c>
      <c r="D533" s="81" t="s">
        <v>1505</v>
      </c>
    </row>
    <row r="534" spans="3:4">
      <c r="C534" s="82" t="s">
        <v>1458</v>
      </c>
      <c r="D534" s="81" t="s">
        <v>1504</v>
      </c>
    </row>
    <row r="535" spans="3:4">
      <c r="C535" s="82" t="s">
        <v>1458</v>
      </c>
      <c r="D535" s="81" t="s">
        <v>1503</v>
      </c>
    </row>
    <row r="536" spans="3:4">
      <c r="C536" s="82" t="s">
        <v>1458</v>
      </c>
      <c r="D536" s="81" t="s">
        <v>1502</v>
      </c>
    </row>
    <row r="537" spans="3:4">
      <c r="C537" s="82" t="s">
        <v>1458</v>
      </c>
      <c r="D537" s="81" t="s">
        <v>1501</v>
      </c>
    </row>
    <row r="538" spans="3:4">
      <c r="C538" s="82" t="s">
        <v>1458</v>
      </c>
      <c r="D538" s="81" t="s">
        <v>1500</v>
      </c>
    </row>
    <row r="539" spans="3:4">
      <c r="C539" s="82" t="s">
        <v>1458</v>
      </c>
      <c r="D539" s="81" t="s">
        <v>1499</v>
      </c>
    </row>
    <row r="540" spans="3:4">
      <c r="C540" s="82" t="s">
        <v>1458</v>
      </c>
      <c r="D540" s="81" t="s">
        <v>1498</v>
      </c>
    </row>
    <row r="541" spans="3:4">
      <c r="C541" s="82" t="s">
        <v>1458</v>
      </c>
      <c r="D541" s="81" t="s">
        <v>1497</v>
      </c>
    </row>
    <row r="542" spans="3:4">
      <c r="C542" s="82" t="s">
        <v>1458</v>
      </c>
      <c r="D542" s="81" t="s">
        <v>1496</v>
      </c>
    </row>
    <row r="543" spans="3:4">
      <c r="C543" s="82" t="s">
        <v>1458</v>
      </c>
      <c r="D543" s="81" t="s">
        <v>1495</v>
      </c>
    </row>
    <row r="544" spans="3:4">
      <c r="C544" s="82" t="s">
        <v>1458</v>
      </c>
      <c r="D544" s="81" t="s">
        <v>1494</v>
      </c>
    </row>
    <row r="545" spans="3:4">
      <c r="C545" s="82" t="s">
        <v>1458</v>
      </c>
      <c r="D545" s="81" t="s">
        <v>1493</v>
      </c>
    </row>
    <row r="546" spans="3:4">
      <c r="C546" s="82" t="s">
        <v>1458</v>
      </c>
      <c r="D546" s="81" t="s">
        <v>1492</v>
      </c>
    </row>
    <row r="547" spans="3:4">
      <c r="C547" s="82" t="s">
        <v>1458</v>
      </c>
      <c r="D547" s="81" t="s">
        <v>1491</v>
      </c>
    </row>
    <row r="548" spans="3:4">
      <c r="C548" s="82" t="s">
        <v>1458</v>
      </c>
      <c r="D548" s="81" t="s">
        <v>1490</v>
      </c>
    </row>
    <row r="549" spans="3:4">
      <c r="C549" s="82" t="s">
        <v>1458</v>
      </c>
      <c r="D549" s="81" t="s">
        <v>1489</v>
      </c>
    </row>
    <row r="550" spans="3:4">
      <c r="C550" s="82" t="s">
        <v>1458</v>
      </c>
      <c r="D550" s="81" t="s">
        <v>1488</v>
      </c>
    </row>
    <row r="551" spans="3:4">
      <c r="C551" s="82" t="s">
        <v>1458</v>
      </c>
      <c r="D551" s="81" t="s">
        <v>1487</v>
      </c>
    </row>
    <row r="552" spans="3:4">
      <c r="C552" s="82" t="s">
        <v>1458</v>
      </c>
      <c r="D552" s="81" t="s">
        <v>1486</v>
      </c>
    </row>
    <row r="553" spans="3:4">
      <c r="C553" s="82" t="s">
        <v>1458</v>
      </c>
      <c r="D553" s="81" t="s">
        <v>1485</v>
      </c>
    </row>
    <row r="554" spans="3:4">
      <c r="C554" s="82" t="s">
        <v>1458</v>
      </c>
      <c r="D554" s="81" t="s">
        <v>1484</v>
      </c>
    </row>
    <row r="555" spans="3:4">
      <c r="C555" s="82" t="s">
        <v>1458</v>
      </c>
      <c r="D555" s="81" t="s">
        <v>1483</v>
      </c>
    </row>
    <row r="556" spans="3:4">
      <c r="C556" s="82" t="s">
        <v>1458</v>
      </c>
      <c r="D556" s="81" t="s">
        <v>1482</v>
      </c>
    </row>
    <row r="557" spans="3:4">
      <c r="C557" s="82" t="s">
        <v>1458</v>
      </c>
      <c r="D557" s="81" t="s">
        <v>1481</v>
      </c>
    </row>
    <row r="558" spans="3:4">
      <c r="C558" s="82" t="s">
        <v>1458</v>
      </c>
      <c r="D558" s="81" t="s">
        <v>1480</v>
      </c>
    </row>
    <row r="559" spans="3:4">
      <c r="C559" s="82" t="s">
        <v>1458</v>
      </c>
      <c r="D559" s="81" t="s">
        <v>1479</v>
      </c>
    </row>
    <row r="560" spans="3:4">
      <c r="C560" s="82" t="s">
        <v>1458</v>
      </c>
      <c r="D560" s="81" t="s">
        <v>1478</v>
      </c>
    </row>
    <row r="561" spans="3:4">
      <c r="C561" s="82" t="s">
        <v>1458</v>
      </c>
      <c r="D561" s="81" t="s">
        <v>1477</v>
      </c>
    </row>
    <row r="562" spans="3:4">
      <c r="C562" s="82" t="s">
        <v>1458</v>
      </c>
      <c r="D562" s="81" t="s">
        <v>1476</v>
      </c>
    </row>
    <row r="563" spans="3:4">
      <c r="C563" s="82" t="s">
        <v>1458</v>
      </c>
      <c r="D563" s="81" t="s">
        <v>1475</v>
      </c>
    </row>
    <row r="564" spans="3:4">
      <c r="C564" s="82" t="s">
        <v>1458</v>
      </c>
      <c r="D564" s="81" t="s">
        <v>1474</v>
      </c>
    </row>
    <row r="565" spans="3:4">
      <c r="C565" s="82" t="s">
        <v>1458</v>
      </c>
      <c r="D565" s="81" t="s">
        <v>1473</v>
      </c>
    </row>
    <row r="566" spans="3:4">
      <c r="C566" s="82" t="s">
        <v>1458</v>
      </c>
      <c r="D566" s="81" t="s">
        <v>1472</v>
      </c>
    </row>
    <row r="567" spans="3:4">
      <c r="C567" s="82" t="s">
        <v>1458</v>
      </c>
      <c r="D567" s="81" t="s">
        <v>1471</v>
      </c>
    </row>
    <row r="568" spans="3:4">
      <c r="C568" s="82" t="s">
        <v>1458</v>
      </c>
      <c r="D568" s="81" t="s">
        <v>1470</v>
      </c>
    </row>
    <row r="569" spans="3:4">
      <c r="C569" s="82" t="s">
        <v>1458</v>
      </c>
      <c r="D569" s="81" t="s">
        <v>1469</v>
      </c>
    </row>
    <row r="570" spans="3:4">
      <c r="C570" s="82" t="s">
        <v>1458</v>
      </c>
      <c r="D570" s="81" t="s">
        <v>1468</v>
      </c>
    </row>
    <row r="571" spans="3:4">
      <c r="C571" s="82" t="s">
        <v>1458</v>
      </c>
      <c r="D571" s="81" t="s">
        <v>1467</v>
      </c>
    </row>
    <row r="572" spans="3:4">
      <c r="C572" s="82" t="s">
        <v>1458</v>
      </c>
      <c r="D572" s="81" t="s">
        <v>1466</v>
      </c>
    </row>
    <row r="573" spans="3:4">
      <c r="C573" s="82" t="s">
        <v>1458</v>
      </c>
      <c r="D573" s="81" t="s">
        <v>1465</v>
      </c>
    </row>
    <row r="574" spans="3:4">
      <c r="C574" s="82" t="s">
        <v>1458</v>
      </c>
      <c r="D574" s="81" t="s">
        <v>1464</v>
      </c>
    </row>
    <row r="575" spans="3:4">
      <c r="C575" s="82" t="s">
        <v>1458</v>
      </c>
      <c r="D575" s="81" t="s">
        <v>430</v>
      </c>
    </row>
    <row r="576" spans="3:4">
      <c r="C576" s="82" t="s">
        <v>1458</v>
      </c>
      <c r="D576" s="81" t="s">
        <v>1463</v>
      </c>
    </row>
    <row r="577" spans="3:4">
      <c r="C577" s="82" t="s">
        <v>1458</v>
      </c>
      <c r="D577" s="81" t="s">
        <v>1462</v>
      </c>
    </row>
    <row r="578" spans="3:4">
      <c r="C578" s="82" t="s">
        <v>1458</v>
      </c>
      <c r="D578" s="81" t="s">
        <v>1461</v>
      </c>
    </row>
    <row r="579" spans="3:4">
      <c r="C579" s="82" t="s">
        <v>1458</v>
      </c>
      <c r="D579" s="81" t="s">
        <v>1460</v>
      </c>
    </row>
    <row r="580" spans="3:4">
      <c r="C580" s="82" t="s">
        <v>1458</v>
      </c>
      <c r="D580" s="81" t="s">
        <v>1459</v>
      </c>
    </row>
    <row r="581" spans="3:4">
      <c r="C581" s="82" t="s">
        <v>1458</v>
      </c>
      <c r="D581" s="81" t="s">
        <v>1457</v>
      </c>
    </row>
    <row r="582" spans="3:4">
      <c r="C582" s="82" t="s">
        <v>1403</v>
      </c>
      <c r="D582" s="81" t="s">
        <v>1456</v>
      </c>
    </row>
    <row r="583" spans="3:4">
      <c r="C583" s="82" t="s">
        <v>1403</v>
      </c>
      <c r="D583" s="81" t="s">
        <v>1455</v>
      </c>
    </row>
    <row r="584" spans="3:4">
      <c r="C584" s="82" t="s">
        <v>1403</v>
      </c>
      <c r="D584" s="81" t="s">
        <v>1454</v>
      </c>
    </row>
    <row r="585" spans="3:4">
      <c r="C585" s="82" t="s">
        <v>1403</v>
      </c>
      <c r="D585" s="81" t="s">
        <v>1453</v>
      </c>
    </row>
    <row r="586" spans="3:4">
      <c r="C586" s="82" t="s">
        <v>1403</v>
      </c>
      <c r="D586" s="81" t="s">
        <v>1452</v>
      </c>
    </row>
    <row r="587" spans="3:4">
      <c r="C587" s="82" t="s">
        <v>1403</v>
      </c>
      <c r="D587" s="81" t="s">
        <v>1451</v>
      </c>
    </row>
    <row r="588" spans="3:4">
      <c r="C588" s="82" t="s">
        <v>1403</v>
      </c>
      <c r="D588" s="81" t="s">
        <v>1450</v>
      </c>
    </row>
    <row r="589" spans="3:4">
      <c r="C589" s="82" t="s">
        <v>1403</v>
      </c>
      <c r="D589" s="81" t="s">
        <v>1449</v>
      </c>
    </row>
    <row r="590" spans="3:4">
      <c r="C590" s="82" t="s">
        <v>1403</v>
      </c>
      <c r="D590" s="81" t="s">
        <v>1448</v>
      </c>
    </row>
    <row r="591" spans="3:4">
      <c r="C591" s="82" t="s">
        <v>1403</v>
      </c>
      <c r="D591" s="81" t="s">
        <v>1447</v>
      </c>
    </row>
    <row r="592" spans="3:4">
      <c r="C592" s="82" t="s">
        <v>1403</v>
      </c>
      <c r="D592" s="81" t="s">
        <v>1446</v>
      </c>
    </row>
    <row r="593" spans="3:4">
      <c r="C593" s="82" t="s">
        <v>1403</v>
      </c>
      <c r="D593" s="81" t="s">
        <v>1445</v>
      </c>
    </row>
    <row r="594" spans="3:4">
      <c r="C594" s="82" t="s">
        <v>1403</v>
      </c>
      <c r="D594" s="81" t="s">
        <v>1444</v>
      </c>
    </row>
    <row r="595" spans="3:4">
      <c r="C595" s="82" t="s">
        <v>1403</v>
      </c>
      <c r="D595" s="81" t="s">
        <v>1443</v>
      </c>
    </row>
    <row r="596" spans="3:4">
      <c r="C596" s="82" t="s">
        <v>1403</v>
      </c>
      <c r="D596" s="81" t="s">
        <v>1442</v>
      </c>
    </row>
    <row r="597" spans="3:4">
      <c r="C597" s="82" t="s">
        <v>1403</v>
      </c>
      <c r="D597" s="81" t="s">
        <v>1441</v>
      </c>
    </row>
    <row r="598" spans="3:4">
      <c r="C598" s="82" t="s">
        <v>1403</v>
      </c>
      <c r="D598" s="81" t="s">
        <v>1440</v>
      </c>
    </row>
    <row r="599" spans="3:4">
      <c r="C599" s="82" t="s">
        <v>1403</v>
      </c>
      <c r="D599" s="81" t="s">
        <v>1439</v>
      </c>
    </row>
    <row r="600" spans="3:4">
      <c r="C600" s="82" t="s">
        <v>1403</v>
      </c>
      <c r="D600" s="81" t="s">
        <v>1438</v>
      </c>
    </row>
    <row r="601" spans="3:4">
      <c r="C601" s="82" t="s">
        <v>1403</v>
      </c>
      <c r="D601" s="81" t="s">
        <v>1437</v>
      </c>
    </row>
    <row r="602" spans="3:4">
      <c r="C602" s="82" t="s">
        <v>1403</v>
      </c>
      <c r="D602" s="81" t="s">
        <v>1436</v>
      </c>
    </row>
    <row r="603" spans="3:4">
      <c r="C603" s="82" t="s">
        <v>1403</v>
      </c>
      <c r="D603" s="81" t="s">
        <v>1435</v>
      </c>
    </row>
    <row r="604" spans="3:4">
      <c r="C604" s="82" t="s">
        <v>1403</v>
      </c>
      <c r="D604" s="81" t="s">
        <v>1434</v>
      </c>
    </row>
    <row r="605" spans="3:4">
      <c r="C605" s="82" t="s">
        <v>1403</v>
      </c>
      <c r="D605" s="81" t="s">
        <v>1433</v>
      </c>
    </row>
    <row r="606" spans="3:4">
      <c r="C606" s="82" t="s">
        <v>1403</v>
      </c>
      <c r="D606" s="81" t="s">
        <v>1432</v>
      </c>
    </row>
    <row r="607" spans="3:4">
      <c r="C607" s="82" t="s">
        <v>1403</v>
      </c>
      <c r="D607" s="81" t="s">
        <v>1431</v>
      </c>
    </row>
    <row r="608" spans="3:4">
      <c r="C608" s="82" t="s">
        <v>1403</v>
      </c>
      <c r="D608" s="81" t="s">
        <v>1430</v>
      </c>
    </row>
    <row r="609" spans="3:4">
      <c r="C609" s="82" t="s">
        <v>1403</v>
      </c>
      <c r="D609" s="81" t="s">
        <v>1429</v>
      </c>
    </row>
    <row r="610" spans="3:4">
      <c r="C610" s="82" t="s">
        <v>1403</v>
      </c>
      <c r="D610" s="81" t="s">
        <v>1428</v>
      </c>
    </row>
    <row r="611" spans="3:4">
      <c r="C611" s="82" t="s">
        <v>1403</v>
      </c>
      <c r="D611" s="81" t="s">
        <v>1427</v>
      </c>
    </row>
    <row r="612" spans="3:4">
      <c r="C612" s="82" t="s">
        <v>1403</v>
      </c>
      <c r="D612" s="81" t="s">
        <v>1426</v>
      </c>
    </row>
    <row r="613" spans="3:4">
      <c r="C613" s="82" t="s">
        <v>1403</v>
      </c>
      <c r="D613" s="81" t="s">
        <v>1425</v>
      </c>
    </row>
    <row r="614" spans="3:4">
      <c r="C614" s="82" t="s">
        <v>1403</v>
      </c>
      <c r="D614" s="81" t="s">
        <v>1424</v>
      </c>
    </row>
    <row r="615" spans="3:4">
      <c r="C615" s="82" t="s">
        <v>1403</v>
      </c>
      <c r="D615" s="81" t="s">
        <v>1423</v>
      </c>
    </row>
    <row r="616" spans="3:4">
      <c r="C616" s="82" t="s">
        <v>1403</v>
      </c>
      <c r="D616" s="81" t="s">
        <v>1422</v>
      </c>
    </row>
    <row r="617" spans="3:4">
      <c r="C617" s="82" t="s">
        <v>1403</v>
      </c>
      <c r="D617" s="81" t="s">
        <v>1421</v>
      </c>
    </row>
    <row r="618" spans="3:4">
      <c r="C618" s="82" t="s">
        <v>1403</v>
      </c>
      <c r="D618" s="81" t="s">
        <v>1420</v>
      </c>
    </row>
    <row r="619" spans="3:4">
      <c r="C619" s="82" t="s">
        <v>1403</v>
      </c>
      <c r="D619" s="81" t="s">
        <v>1419</v>
      </c>
    </row>
    <row r="620" spans="3:4">
      <c r="C620" s="82" t="s">
        <v>1403</v>
      </c>
      <c r="D620" s="81" t="s">
        <v>1418</v>
      </c>
    </row>
    <row r="621" spans="3:4">
      <c r="C621" s="82" t="s">
        <v>1403</v>
      </c>
      <c r="D621" s="81" t="s">
        <v>1417</v>
      </c>
    </row>
    <row r="622" spans="3:4">
      <c r="C622" s="82" t="s">
        <v>1403</v>
      </c>
      <c r="D622" s="81" t="s">
        <v>1416</v>
      </c>
    </row>
    <row r="623" spans="3:4">
      <c r="C623" s="82" t="s">
        <v>1403</v>
      </c>
      <c r="D623" s="81" t="s">
        <v>1415</v>
      </c>
    </row>
    <row r="624" spans="3:4">
      <c r="C624" s="82" t="s">
        <v>1403</v>
      </c>
      <c r="D624" s="81" t="s">
        <v>1414</v>
      </c>
    </row>
    <row r="625" spans="3:4">
      <c r="C625" s="82" t="s">
        <v>1403</v>
      </c>
      <c r="D625" s="81" t="s">
        <v>1413</v>
      </c>
    </row>
    <row r="626" spans="3:4">
      <c r="C626" s="82" t="s">
        <v>1403</v>
      </c>
      <c r="D626" s="81" t="s">
        <v>1412</v>
      </c>
    </row>
    <row r="627" spans="3:4">
      <c r="C627" s="82" t="s">
        <v>1403</v>
      </c>
      <c r="D627" s="81" t="s">
        <v>1411</v>
      </c>
    </row>
    <row r="628" spans="3:4">
      <c r="C628" s="82" t="s">
        <v>1403</v>
      </c>
      <c r="D628" s="81" t="s">
        <v>1410</v>
      </c>
    </row>
    <row r="629" spans="3:4">
      <c r="C629" s="82" t="s">
        <v>1403</v>
      </c>
      <c r="D629" s="81" t="s">
        <v>1409</v>
      </c>
    </row>
    <row r="630" spans="3:4">
      <c r="C630" s="82" t="s">
        <v>1403</v>
      </c>
      <c r="D630" s="81" t="s">
        <v>1408</v>
      </c>
    </row>
    <row r="631" spans="3:4">
      <c r="C631" s="82" t="s">
        <v>1403</v>
      </c>
      <c r="D631" s="81" t="s">
        <v>1407</v>
      </c>
    </row>
    <row r="632" spans="3:4">
      <c r="C632" s="82" t="s">
        <v>1403</v>
      </c>
      <c r="D632" s="81" t="s">
        <v>1406</v>
      </c>
    </row>
    <row r="633" spans="3:4">
      <c r="C633" s="82" t="s">
        <v>1403</v>
      </c>
      <c r="D633" s="81" t="s">
        <v>1405</v>
      </c>
    </row>
    <row r="634" spans="3:4">
      <c r="C634" s="82" t="s">
        <v>1403</v>
      </c>
      <c r="D634" s="81" t="s">
        <v>1404</v>
      </c>
    </row>
    <row r="635" spans="3:4">
      <c r="C635" s="82" t="s">
        <v>1403</v>
      </c>
      <c r="D635" s="81" t="s">
        <v>1402</v>
      </c>
    </row>
    <row r="636" spans="3:4">
      <c r="C636" s="82" t="s">
        <v>1343</v>
      </c>
      <c r="D636" s="81" t="s">
        <v>265</v>
      </c>
    </row>
    <row r="637" spans="3:4">
      <c r="C637" s="82" t="s">
        <v>1343</v>
      </c>
      <c r="D637" s="81" t="s">
        <v>1401</v>
      </c>
    </row>
    <row r="638" spans="3:4">
      <c r="C638" s="82" t="s">
        <v>1343</v>
      </c>
      <c r="D638" s="81" t="s">
        <v>1400</v>
      </c>
    </row>
    <row r="639" spans="3:4">
      <c r="C639" s="82" t="s">
        <v>1343</v>
      </c>
      <c r="D639" s="81" t="s">
        <v>1399</v>
      </c>
    </row>
    <row r="640" spans="3:4">
      <c r="C640" s="82" t="s">
        <v>1343</v>
      </c>
      <c r="D640" s="81" t="s">
        <v>1398</v>
      </c>
    </row>
    <row r="641" spans="3:4">
      <c r="C641" s="82" t="s">
        <v>1343</v>
      </c>
      <c r="D641" s="81" t="s">
        <v>1397</v>
      </c>
    </row>
    <row r="642" spans="3:4">
      <c r="C642" s="82" t="s">
        <v>1343</v>
      </c>
      <c r="D642" s="81" t="s">
        <v>1396</v>
      </c>
    </row>
    <row r="643" spans="3:4">
      <c r="C643" s="82" t="s">
        <v>1343</v>
      </c>
      <c r="D643" s="81" t="s">
        <v>1395</v>
      </c>
    </row>
    <row r="644" spans="3:4">
      <c r="C644" s="82" t="s">
        <v>1343</v>
      </c>
      <c r="D644" s="81" t="s">
        <v>1394</v>
      </c>
    </row>
    <row r="645" spans="3:4">
      <c r="C645" s="82" t="s">
        <v>1343</v>
      </c>
      <c r="D645" s="81" t="s">
        <v>1393</v>
      </c>
    </row>
    <row r="646" spans="3:4">
      <c r="C646" s="82" t="s">
        <v>1343</v>
      </c>
      <c r="D646" s="81" t="s">
        <v>1392</v>
      </c>
    </row>
    <row r="647" spans="3:4">
      <c r="C647" s="82" t="s">
        <v>1343</v>
      </c>
      <c r="D647" s="81" t="s">
        <v>1391</v>
      </c>
    </row>
    <row r="648" spans="3:4">
      <c r="C648" s="82" t="s">
        <v>1343</v>
      </c>
      <c r="D648" s="81" t="s">
        <v>1390</v>
      </c>
    </row>
    <row r="649" spans="3:4">
      <c r="C649" s="82" t="s">
        <v>1343</v>
      </c>
      <c r="D649" s="81" t="s">
        <v>1389</v>
      </c>
    </row>
    <row r="650" spans="3:4">
      <c r="C650" s="82" t="s">
        <v>1343</v>
      </c>
      <c r="D650" s="81" t="s">
        <v>1388</v>
      </c>
    </row>
    <row r="651" spans="3:4">
      <c r="C651" s="82" t="s">
        <v>1343</v>
      </c>
      <c r="D651" s="81" t="s">
        <v>266</v>
      </c>
    </row>
    <row r="652" spans="3:4">
      <c r="C652" s="82" t="s">
        <v>1343</v>
      </c>
      <c r="D652" s="81" t="s">
        <v>1387</v>
      </c>
    </row>
    <row r="653" spans="3:4">
      <c r="C653" s="82" t="s">
        <v>1343</v>
      </c>
      <c r="D653" s="81" t="s">
        <v>1386</v>
      </c>
    </row>
    <row r="654" spans="3:4">
      <c r="C654" s="82" t="s">
        <v>1343</v>
      </c>
      <c r="D654" s="81" t="s">
        <v>1385</v>
      </c>
    </row>
    <row r="655" spans="3:4">
      <c r="C655" s="82" t="s">
        <v>1343</v>
      </c>
      <c r="D655" s="81" t="s">
        <v>1384</v>
      </c>
    </row>
    <row r="656" spans="3:4">
      <c r="C656" s="82" t="s">
        <v>1343</v>
      </c>
      <c r="D656" s="81" t="s">
        <v>1383</v>
      </c>
    </row>
    <row r="657" spans="3:4">
      <c r="C657" s="82" t="s">
        <v>1343</v>
      </c>
      <c r="D657" s="81" t="s">
        <v>1382</v>
      </c>
    </row>
    <row r="658" spans="3:4">
      <c r="C658" s="82" t="s">
        <v>1343</v>
      </c>
      <c r="D658" s="81" t="s">
        <v>1381</v>
      </c>
    </row>
    <row r="659" spans="3:4">
      <c r="C659" s="82" t="s">
        <v>1343</v>
      </c>
      <c r="D659" s="81" t="s">
        <v>1380</v>
      </c>
    </row>
    <row r="660" spans="3:4">
      <c r="C660" s="82" t="s">
        <v>1343</v>
      </c>
      <c r="D660" s="81" t="s">
        <v>1379</v>
      </c>
    </row>
    <row r="661" spans="3:4">
      <c r="C661" s="82" t="s">
        <v>1343</v>
      </c>
      <c r="D661" s="81" t="s">
        <v>1378</v>
      </c>
    </row>
    <row r="662" spans="3:4">
      <c r="C662" s="82" t="s">
        <v>1343</v>
      </c>
      <c r="D662" s="81" t="s">
        <v>1377</v>
      </c>
    </row>
    <row r="663" spans="3:4">
      <c r="C663" s="82" t="s">
        <v>1343</v>
      </c>
      <c r="D663" s="81" t="s">
        <v>1376</v>
      </c>
    </row>
    <row r="664" spans="3:4">
      <c r="C664" s="82" t="s">
        <v>1343</v>
      </c>
      <c r="D664" s="81" t="s">
        <v>686</v>
      </c>
    </row>
    <row r="665" spans="3:4">
      <c r="C665" s="82" t="s">
        <v>1343</v>
      </c>
      <c r="D665" s="81" t="s">
        <v>1375</v>
      </c>
    </row>
    <row r="666" spans="3:4">
      <c r="C666" s="82" t="s">
        <v>1343</v>
      </c>
      <c r="D666" s="81" t="s">
        <v>1374</v>
      </c>
    </row>
    <row r="667" spans="3:4">
      <c r="C667" s="82" t="s">
        <v>1343</v>
      </c>
      <c r="D667" s="81" t="s">
        <v>1373</v>
      </c>
    </row>
    <row r="668" spans="3:4">
      <c r="C668" s="82" t="s">
        <v>1343</v>
      </c>
      <c r="D668" s="81" t="s">
        <v>1372</v>
      </c>
    </row>
    <row r="669" spans="3:4">
      <c r="C669" s="82" t="s">
        <v>1343</v>
      </c>
      <c r="D669" s="81" t="s">
        <v>1371</v>
      </c>
    </row>
    <row r="670" spans="3:4">
      <c r="C670" s="82" t="s">
        <v>1343</v>
      </c>
      <c r="D670" s="81" t="s">
        <v>1370</v>
      </c>
    </row>
    <row r="671" spans="3:4">
      <c r="C671" s="82" t="s">
        <v>1343</v>
      </c>
      <c r="D671" s="81" t="s">
        <v>1369</v>
      </c>
    </row>
    <row r="672" spans="3:4">
      <c r="C672" s="82" t="s">
        <v>1343</v>
      </c>
      <c r="D672" s="81" t="s">
        <v>1368</v>
      </c>
    </row>
    <row r="673" spans="3:4">
      <c r="C673" s="82" t="s">
        <v>1343</v>
      </c>
      <c r="D673" s="81" t="s">
        <v>1367</v>
      </c>
    </row>
    <row r="674" spans="3:4">
      <c r="C674" s="82" t="s">
        <v>1343</v>
      </c>
      <c r="D674" s="81" t="s">
        <v>1366</v>
      </c>
    </row>
    <row r="675" spans="3:4">
      <c r="C675" s="82" t="s">
        <v>1343</v>
      </c>
      <c r="D675" s="81" t="s">
        <v>1365</v>
      </c>
    </row>
    <row r="676" spans="3:4">
      <c r="C676" s="82" t="s">
        <v>1343</v>
      </c>
      <c r="D676" s="81" t="s">
        <v>1364</v>
      </c>
    </row>
    <row r="677" spans="3:4">
      <c r="C677" s="82" t="s">
        <v>1343</v>
      </c>
      <c r="D677" s="81" t="s">
        <v>1363</v>
      </c>
    </row>
    <row r="678" spans="3:4">
      <c r="C678" s="82" t="s">
        <v>1343</v>
      </c>
      <c r="D678" s="81" t="s">
        <v>1362</v>
      </c>
    </row>
    <row r="679" spans="3:4">
      <c r="C679" s="82" t="s">
        <v>1343</v>
      </c>
      <c r="D679" s="81" t="s">
        <v>1361</v>
      </c>
    </row>
    <row r="680" spans="3:4">
      <c r="C680" s="82" t="s">
        <v>1343</v>
      </c>
      <c r="D680" s="81" t="s">
        <v>1360</v>
      </c>
    </row>
    <row r="681" spans="3:4">
      <c r="C681" s="82" t="s">
        <v>1343</v>
      </c>
      <c r="D681" s="81" t="s">
        <v>1359</v>
      </c>
    </row>
    <row r="682" spans="3:4">
      <c r="C682" s="82" t="s">
        <v>1343</v>
      </c>
      <c r="D682" s="81" t="s">
        <v>1358</v>
      </c>
    </row>
    <row r="683" spans="3:4">
      <c r="C683" s="82" t="s">
        <v>1343</v>
      </c>
      <c r="D683" s="81" t="s">
        <v>1357</v>
      </c>
    </row>
    <row r="684" spans="3:4">
      <c r="C684" s="82" t="s">
        <v>1343</v>
      </c>
      <c r="D684" s="81" t="s">
        <v>1356</v>
      </c>
    </row>
    <row r="685" spans="3:4">
      <c r="C685" s="82" t="s">
        <v>1343</v>
      </c>
      <c r="D685" s="81" t="s">
        <v>1355</v>
      </c>
    </row>
    <row r="686" spans="3:4">
      <c r="C686" s="82" t="s">
        <v>1343</v>
      </c>
      <c r="D686" s="81" t="s">
        <v>1354</v>
      </c>
    </row>
    <row r="687" spans="3:4">
      <c r="C687" s="82" t="s">
        <v>1343</v>
      </c>
      <c r="D687" s="81" t="s">
        <v>1353</v>
      </c>
    </row>
    <row r="688" spans="3:4">
      <c r="C688" s="82" t="s">
        <v>1343</v>
      </c>
      <c r="D688" s="81" t="s">
        <v>1352</v>
      </c>
    </row>
    <row r="689" spans="3:4">
      <c r="C689" s="82" t="s">
        <v>1343</v>
      </c>
      <c r="D689" s="81" t="s">
        <v>1351</v>
      </c>
    </row>
    <row r="690" spans="3:4">
      <c r="C690" s="82" t="s">
        <v>1343</v>
      </c>
      <c r="D690" s="81" t="s">
        <v>1350</v>
      </c>
    </row>
    <row r="691" spans="3:4">
      <c r="C691" s="82" t="s">
        <v>1343</v>
      </c>
      <c r="D691" s="81" t="s">
        <v>1349</v>
      </c>
    </row>
    <row r="692" spans="3:4">
      <c r="C692" s="82" t="s">
        <v>1343</v>
      </c>
      <c r="D692" s="81" t="s">
        <v>1348</v>
      </c>
    </row>
    <row r="693" spans="3:4">
      <c r="C693" s="82" t="s">
        <v>1343</v>
      </c>
      <c r="D693" s="81" t="s">
        <v>1347</v>
      </c>
    </row>
    <row r="694" spans="3:4">
      <c r="C694" s="82" t="s">
        <v>1343</v>
      </c>
      <c r="D694" s="81" t="s">
        <v>1346</v>
      </c>
    </row>
    <row r="695" spans="3:4">
      <c r="C695" s="82" t="s">
        <v>1343</v>
      </c>
      <c r="D695" s="81" t="s">
        <v>1345</v>
      </c>
    </row>
    <row r="696" spans="3:4">
      <c r="C696" s="82" t="s">
        <v>1343</v>
      </c>
      <c r="D696" s="81" t="s">
        <v>1344</v>
      </c>
    </row>
    <row r="697" spans="3:4">
      <c r="C697" s="82" t="s">
        <v>1343</v>
      </c>
      <c r="D697" s="81" t="s">
        <v>1342</v>
      </c>
    </row>
    <row r="698" spans="3:4">
      <c r="C698" s="82" t="s">
        <v>1309</v>
      </c>
      <c r="D698" s="81" t="s">
        <v>1341</v>
      </c>
    </row>
    <row r="699" spans="3:4">
      <c r="C699" s="82" t="s">
        <v>1309</v>
      </c>
      <c r="D699" s="81" t="s">
        <v>1340</v>
      </c>
    </row>
    <row r="700" spans="3:4">
      <c r="C700" s="82" t="s">
        <v>1309</v>
      </c>
      <c r="D700" s="81" t="s">
        <v>1339</v>
      </c>
    </row>
    <row r="701" spans="3:4">
      <c r="C701" s="82" t="s">
        <v>1309</v>
      </c>
      <c r="D701" s="81" t="s">
        <v>1338</v>
      </c>
    </row>
    <row r="702" spans="3:4">
      <c r="C702" s="82" t="s">
        <v>1309</v>
      </c>
      <c r="D702" s="81" t="s">
        <v>1337</v>
      </c>
    </row>
    <row r="703" spans="3:4">
      <c r="C703" s="82" t="s">
        <v>1309</v>
      </c>
      <c r="D703" s="81" t="s">
        <v>1336</v>
      </c>
    </row>
    <row r="704" spans="3:4">
      <c r="C704" s="82" t="s">
        <v>1309</v>
      </c>
      <c r="D704" s="81" t="s">
        <v>1335</v>
      </c>
    </row>
    <row r="705" spans="3:4">
      <c r="C705" s="82" t="s">
        <v>1309</v>
      </c>
      <c r="D705" s="81" t="s">
        <v>1334</v>
      </c>
    </row>
    <row r="706" spans="3:4">
      <c r="C706" s="82" t="s">
        <v>1309</v>
      </c>
      <c r="D706" s="81" t="s">
        <v>1333</v>
      </c>
    </row>
    <row r="707" spans="3:4">
      <c r="C707" s="82" t="s">
        <v>1309</v>
      </c>
      <c r="D707" s="81" t="s">
        <v>1332</v>
      </c>
    </row>
    <row r="708" spans="3:4">
      <c r="C708" s="82" t="s">
        <v>1309</v>
      </c>
      <c r="D708" s="81" t="s">
        <v>1331</v>
      </c>
    </row>
    <row r="709" spans="3:4">
      <c r="C709" s="82" t="s">
        <v>1309</v>
      </c>
      <c r="D709" s="81" t="s">
        <v>1330</v>
      </c>
    </row>
    <row r="710" spans="3:4">
      <c r="C710" s="82" t="s">
        <v>1309</v>
      </c>
      <c r="D710" s="81" t="s">
        <v>1329</v>
      </c>
    </row>
    <row r="711" spans="3:4">
      <c r="C711" s="82" t="s">
        <v>1309</v>
      </c>
      <c r="D711" s="81" t="s">
        <v>1328</v>
      </c>
    </row>
    <row r="712" spans="3:4">
      <c r="C712" s="82" t="s">
        <v>1309</v>
      </c>
      <c r="D712" s="81" t="s">
        <v>1327</v>
      </c>
    </row>
    <row r="713" spans="3:4">
      <c r="C713" s="82" t="s">
        <v>1309</v>
      </c>
      <c r="D713" s="81" t="s">
        <v>1326</v>
      </c>
    </row>
    <row r="714" spans="3:4">
      <c r="C714" s="82" t="s">
        <v>1309</v>
      </c>
      <c r="D714" s="81" t="s">
        <v>1325</v>
      </c>
    </row>
    <row r="715" spans="3:4">
      <c r="C715" s="82" t="s">
        <v>1309</v>
      </c>
      <c r="D715" s="81" t="s">
        <v>1324</v>
      </c>
    </row>
    <row r="716" spans="3:4">
      <c r="C716" s="82" t="s">
        <v>1309</v>
      </c>
      <c r="D716" s="81" t="s">
        <v>1323</v>
      </c>
    </row>
    <row r="717" spans="3:4">
      <c r="C717" s="82" t="s">
        <v>1309</v>
      </c>
      <c r="D717" s="81" t="s">
        <v>1322</v>
      </c>
    </row>
    <row r="718" spans="3:4">
      <c r="C718" s="82" t="s">
        <v>1309</v>
      </c>
      <c r="D718" s="81" t="s">
        <v>1321</v>
      </c>
    </row>
    <row r="719" spans="3:4">
      <c r="C719" s="82" t="s">
        <v>1309</v>
      </c>
      <c r="D719" s="81" t="s">
        <v>1320</v>
      </c>
    </row>
    <row r="720" spans="3:4">
      <c r="C720" s="82" t="s">
        <v>1309</v>
      </c>
      <c r="D720" s="81" t="s">
        <v>1319</v>
      </c>
    </row>
    <row r="721" spans="3:4">
      <c r="C721" s="82" t="s">
        <v>1309</v>
      </c>
      <c r="D721" s="81" t="s">
        <v>1318</v>
      </c>
    </row>
    <row r="722" spans="3:4">
      <c r="C722" s="82" t="s">
        <v>1309</v>
      </c>
      <c r="D722" s="81" t="s">
        <v>1317</v>
      </c>
    </row>
    <row r="723" spans="3:4">
      <c r="C723" s="82" t="s">
        <v>1309</v>
      </c>
      <c r="D723" s="81" t="s">
        <v>1316</v>
      </c>
    </row>
    <row r="724" spans="3:4">
      <c r="C724" s="82" t="s">
        <v>1309</v>
      </c>
      <c r="D724" s="81" t="s">
        <v>1315</v>
      </c>
    </row>
    <row r="725" spans="3:4">
      <c r="C725" s="82" t="s">
        <v>1309</v>
      </c>
      <c r="D725" s="81" t="s">
        <v>1314</v>
      </c>
    </row>
    <row r="726" spans="3:4">
      <c r="C726" s="82" t="s">
        <v>1309</v>
      </c>
      <c r="D726" s="81" t="s">
        <v>1313</v>
      </c>
    </row>
    <row r="727" spans="3:4">
      <c r="C727" s="82" t="s">
        <v>1309</v>
      </c>
      <c r="D727" s="81" t="s">
        <v>1312</v>
      </c>
    </row>
    <row r="728" spans="3:4">
      <c r="C728" s="82" t="s">
        <v>1309</v>
      </c>
      <c r="D728" s="81" t="s">
        <v>1311</v>
      </c>
    </row>
    <row r="729" spans="3:4">
      <c r="C729" s="82" t="s">
        <v>1309</v>
      </c>
      <c r="D729" s="81" t="s">
        <v>1310</v>
      </c>
    </row>
    <row r="730" spans="3:4">
      <c r="C730" s="82" t="s">
        <v>1309</v>
      </c>
      <c r="D730" s="81" t="s">
        <v>1308</v>
      </c>
    </row>
    <row r="731" spans="3:4">
      <c r="C731" s="82" t="s">
        <v>1278</v>
      </c>
      <c r="D731" s="81" t="s">
        <v>1307</v>
      </c>
    </row>
    <row r="732" spans="3:4">
      <c r="C732" s="82" t="s">
        <v>1278</v>
      </c>
      <c r="D732" s="81" t="s">
        <v>1306</v>
      </c>
    </row>
    <row r="733" spans="3:4">
      <c r="C733" s="82" t="s">
        <v>1278</v>
      </c>
      <c r="D733" s="81" t="s">
        <v>1305</v>
      </c>
    </row>
    <row r="734" spans="3:4">
      <c r="C734" s="82" t="s">
        <v>1278</v>
      </c>
      <c r="D734" s="81" t="s">
        <v>1304</v>
      </c>
    </row>
    <row r="735" spans="3:4">
      <c r="C735" s="82" t="s">
        <v>1278</v>
      </c>
      <c r="D735" s="81" t="s">
        <v>1303</v>
      </c>
    </row>
    <row r="736" spans="3:4">
      <c r="C736" s="82" t="s">
        <v>1278</v>
      </c>
      <c r="D736" s="81" t="s">
        <v>1302</v>
      </c>
    </row>
    <row r="737" spans="3:4">
      <c r="C737" s="82" t="s">
        <v>1278</v>
      </c>
      <c r="D737" s="81" t="s">
        <v>1301</v>
      </c>
    </row>
    <row r="738" spans="3:4">
      <c r="C738" s="82" t="s">
        <v>1278</v>
      </c>
      <c r="D738" s="81" t="s">
        <v>1300</v>
      </c>
    </row>
    <row r="739" spans="3:4">
      <c r="C739" s="82" t="s">
        <v>1278</v>
      </c>
      <c r="D739" s="81" t="s">
        <v>1299</v>
      </c>
    </row>
    <row r="740" spans="3:4">
      <c r="C740" s="82" t="s">
        <v>1278</v>
      </c>
      <c r="D740" s="81" t="s">
        <v>1298</v>
      </c>
    </row>
    <row r="741" spans="3:4">
      <c r="C741" s="82" t="s">
        <v>1278</v>
      </c>
      <c r="D741" s="81" t="s">
        <v>1297</v>
      </c>
    </row>
    <row r="742" spans="3:4">
      <c r="C742" s="82" t="s">
        <v>1278</v>
      </c>
      <c r="D742" s="81" t="s">
        <v>1296</v>
      </c>
    </row>
    <row r="743" spans="3:4">
      <c r="C743" s="82" t="s">
        <v>1278</v>
      </c>
      <c r="D743" s="81" t="s">
        <v>1295</v>
      </c>
    </row>
    <row r="744" spans="3:4">
      <c r="C744" s="82" t="s">
        <v>1278</v>
      </c>
      <c r="D744" s="81" t="s">
        <v>1294</v>
      </c>
    </row>
    <row r="745" spans="3:4">
      <c r="C745" s="82" t="s">
        <v>1278</v>
      </c>
      <c r="D745" s="81" t="s">
        <v>1293</v>
      </c>
    </row>
    <row r="746" spans="3:4">
      <c r="C746" s="82" t="s">
        <v>1278</v>
      </c>
      <c r="D746" s="81" t="s">
        <v>1292</v>
      </c>
    </row>
    <row r="747" spans="3:4">
      <c r="C747" s="82" t="s">
        <v>1278</v>
      </c>
      <c r="D747" s="81" t="s">
        <v>1291</v>
      </c>
    </row>
    <row r="748" spans="3:4">
      <c r="C748" s="82" t="s">
        <v>1278</v>
      </c>
      <c r="D748" s="81" t="s">
        <v>1290</v>
      </c>
    </row>
    <row r="749" spans="3:4">
      <c r="C749" s="82" t="s">
        <v>1278</v>
      </c>
      <c r="D749" s="81" t="s">
        <v>1289</v>
      </c>
    </row>
    <row r="750" spans="3:4">
      <c r="C750" s="82" t="s">
        <v>1278</v>
      </c>
      <c r="D750" s="81" t="s">
        <v>1288</v>
      </c>
    </row>
    <row r="751" spans="3:4">
      <c r="C751" s="82" t="s">
        <v>1278</v>
      </c>
      <c r="D751" s="81" t="s">
        <v>1287</v>
      </c>
    </row>
    <row r="752" spans="3:4">
      <c r="C752" s="82" t="s">
        <v>1278</v>
      </c>
      <c r="D752" s="81" t="s">
        <v>1286</v>
      </c>
    </row>
    <row r="753" spans="3:4">
      <c r="C753" s="82" t="s">
        <v>1278</v>
      </c>
      <c r="D753" s="81" t="s">
        <v>1285</v>
      </c>
    </row>
    <row r="754" spans="3:4">
      <c r="C754" s="82" t="s">
        <v>1278</v>
      </c>
      <c r="D754" s="81" t="s">
        <v>1284</v>
      </c>
    </row>
    <row r="755" spans="3:4">
      <c r="C755" s="82" t="s">
        <v>1278</v>
      </c>
      <c r="D755" s="81" t="s">
        <v>1283</v>
      </c>
    </row>
    <row r="756" spans="3:4">
      <c r="C756" s="82" t="s">
        <v>1278</v>
      </c>
      <c r="D756" s="81" t="s">
        <v>1282</v>
      </c>
    </row>
    <row r="757" spans="3:4">
      <c r="C757" s="82" t="s">
        <v>1278</v>
      </c>
      <c r="D757" s="81" t="s">
        <v>1281</v>
      </c>
    </row>
    <row r="758" spans="3:4">
      <c r="C758" s="82" t="s">
        <v>1278</v>
      </c>
      <c r="D758" s="81" t="s">
        <v>1280</v>
      </c>
    </row>
    <row r="759" spans="3:4">
      <c r="C759" s="82" t="s">
        <v>1278</v>
      </c>
      <c r="D759" s="81" t="s">
        <v>1279</v>
      </c>
    </row>
    <row r="760" spans="3:4">
      <c r="C760" s="82" t="s">
        <v>1278</v>
      </c>
      <c r="D760" s="81" t="s">
        <v>1277</v>
      </c>
    </row>
    <row r="761" spans="3:4">
      <c r="C761" s="82" t="s">
        <v>1262</v>
      </c>
      <c r="D761" s="81" t="s">
        <v>1276</v>
      </c>
    </row>
    <row r="762" spans="3:4">
      <c r="C762" s="82" t="s">
        <v>1262</v>
      </c>
      <c r="D762" s="81" t="s">
        <v>1275</v>
      </c>
    </row>
    <row r="763" spans="3:4">
      <c r="C763" s="82" t="s">
        <v>1262</v>
      </c>
      <c r="D763" s="81" t="s">
        <v>1274</v>
      </c>
    </row>
    <row r="764" spans="3:4">
      <c r="C764" s="82" t="s">
        <v>1262</v>
      </c>
      <c r="D764" s="81" t="s">
        <v>1273</v>
      </c>
    </row>
    <row r="765" spans="3:4">
      <c r="C765" s="82" t="s">
        <v>1262</v>
      </c>
      <c r="D765" s="81" t="s">
        <v>1272</v>
      </c>
    </row>
    <row r="766" spans="3:4">
      <c r="C766" s="82" t="s">
        <v>1262</v>
      </c>
      <c r="D766" s="81" t="s">
        <v>1271</v>
      </c>
    </row>
    <row r="767" spans="3:4">
      <c r="C767" s="82" t="s">
        <v>1262</v>
      </c>
      <c r="D767" s="81" t="s">
        <v>1270</v>
      </c>
    </row>
    <row r="768" spans="3:4">
      <c r="C768" s="82" t="s">
        <v>1262</v>
      </c>
      <c r="D768" s="81" t="s">
        <v>1269</v>
      </c>
    </row>
    <row r="769" spans="3:4">
      <c r="C769" s="82" t="s">
        <v>1262</v>
      </c>
      <c r="D769" s="81" t="s">
        <v>1268</v>
      </c>
    </row>
    <row r="770" spans="3:4">
      <c r="C770" s="82" t="s">
        <v>1262</v>
      </c>
      <c r="D770" s="81" t="s">
        <v>1267</v>
      </c>
    </row>
    <row r="771" spans="3:4">
      <c r="C771" s="82" t="s">
        <v>1262</v>
      </c>
      <c r="D771" s="81" t="s">
        <v>1266</v>
      </c>
    </row>
    <row r="772" spans="3:4">
      <c r="C772" s="82" t="s">
        <v>1262</v>
      </c>
      <c r="D772" s="81" t="s">
        <v>1265</v>
      </c>
    </row>
    <row r="773" spans="3:4">
      <c r="C773" s="82" t="s">
        <v>1262</v>
      </c>
      <c r="D773" s="81" t="s">
        <v>1264</v>
      </c>
    </row>
    <row r="774" spans="3:4">
      <c r="C774" s="82" t="s">
        <v>1262</v>
      </c>
      <c r="D774" s="81" t="s">
        <v>1263</v>
      </c>
    </row>
    <row r="775" spans="3:4">
      <c r="C775" s="82" t="s">
        <v>1262</v>
      </c>
      <c r="D775" s="81" t="s">
        <v>973</v>
      </c>
    </row>
    <row r="776" spans="3:4">
      <c r="C776" s="82" t="s">
        <v>1243</v>
      </c>
      <c r="D776" s="81" t="s">
        <v>1261</v>
      </c>
    </row>
    <row r="777" spans="3:4">
      <c r="C777" s="82" t="s">
        <v>1243</v>
      </c>
      <c r="D777" s="81" t="s">
        <v>1260</v>
      </c>
    </row>
    <row r="778" spans="3:4">
      <c r="C778" s="82" t="s">
        <v>1243</v>
      </c>
      <c r="D778" s="81" t="s">
        <v>1259</v>
      </c>
    </row>
    <row r="779" spans="3:4">
      <c r="C779" s="82" t="s">
        <v>1243</v>
      </c>
      <c r="D779" s="81" t="s">
        <v>1258</v>
      </c>
    </row>
    <row r="780" spans="3:4">
      <c r="C780" s="82" t="s">
        <v>1243</v>
      </c>
      <c r="D780" s="81" t="s">
        <v>1257</v>
      </c>
    </row>
    <row r="781" spans="3:4">
      <c r="C781" s="82" t="s">
        <v>1243</v>
      </c>
      <c r="D781" s="81" t="s">
        <v>1256</v>
      </c>
    </row>
    <row r="782" spans="3:4">
      <c r="C782" s="82" t="s">
        <v>1243</v>
      </c>
      <c r="D782" s="81" t="s">
        <v>1255</v>
      </c>
    </row>
    <row r="783" spans="3:4">
      <c r="C783" s="82" t="s">
        <v>1243</v>
      </c>
      <c r="D783" s="81" t="s">
        <v>1254</v>
      </c>
    </row>
    <row r="784" spans="3:4">
      <c r="C784" s="82" t="s">
        <v>1243</v>
      </c>
      <c r="D784" s="81" t="s">
        <v>1253</v>
      </c>
    </row>
    <row r="785" spans="3:4">
      <c r="C785" s="82" t="s">
        <v>1243</v>
      </c>
      <c r="D785" s="81" t="s">
        <v>1252</v>
      </c>
    </row>
    <row r="786" spans="3:4">
      <c r="C786" s="82" t="s">
        <v>1243</v>
      </c>
      <c r="D786" s="81" t="s">
        <v>1251</v>
      </c>
    </row>
    <row r="787" spans="3:4">
      <c r="C787" s="82" t="s">
        <v>1243</v>
      </c>
      <c r="D787" s="81" t="s">
        <v>1250</v>
      </c>
    </row>
    <row r="788" spans="3:4">
      <c r="C788" s="82" t="s">
        <v>1243</v>
      </c>
      <c r="D788" s="81" t="s">
        <v>1249</v>
      </c>
    </row>
    <row r="789" spans="3:4">
      <c r="C789" s="82" t="s">
        <v>1243</v>
      </c>
      <c r="D789" s="81" t="s">
        <v>1248</v>
      </c>
    </row>
    <row r="790" spans="3:4">
      <c r="C790" s="82" t="s">
        <v>1243</v>
      </c>
      <c r="D790" s="81" t="s">
        <v>1247</v>
      </c>
    </row>
    <row r="791" spans="3:4">
      <c r="C791" s="82" t="s">
        <v>1243</v>
      </c>
      <c r="D791" s="81" t="s">
        <v>1246</v>
      </c>
    </row>
    <row r="792" spans="3:4">
      <c r="C792" s="82" t="s">
        <v>1243</v>
      </c>
      <c r="D792" s="81" t="s">
        <v>1245</v>
      </c>
    </row>
    <row r="793" spans="3:4">
      <c r="C793" s="82" t="s">
        <v>1243</v>
      </c>
      <c r="D793" s="81" t="s">
        <v>1244</v>
      </c>
    </row>
    <row r="794" spans="3:4">
      <c r="C794" s="82" t="s">
        <v>1243</v>
      </c>
      <c r="D794" s="81" t="s">
        <v>1242</v>
      </c>
    </row>
    <row r="795" spans="3:4">
      <c r="C795" s="82" t="s">
        <v>1227</v>
      </c>
      <c r="D795" s="81" t="s">
        <v>1241</v>
      </c>
    </row>
    <row r="796" spans="3:4">
      <c r="C796" s="82" t="s">
        <v>1227</v>
      </c>
      <c r="D796" s="81" t="s">
        <v>1240</v>
      </c>
    </row>
    <row r="797" spans="3:4">
      <c r="C797" s="82" t="s">
        <v>1227</v>
      </c>
      <c r="D797" s="81" t="s">
        <v>1239</v>
      </c>
    </row>
    <row r="798" spans="3:4">
      <c r="C798" s="82" t="s">
        <v>1227</v>
      </c>
      <c r="D798" s="81" t="s">
        <v>1238</v>
      </c>
    </row>
    <row r="799" spans="3:4">
      <c r="C799" s="82" t="s">
        <v>1227</v>
      </c>
      <c r="D799" s="81" t="s">
        <v>1237</v>
      </c>
    </row>
    <row r="800" spans="3:4">
      <c r="C800" s="82" t="s">
        <v>1227</v>
      </c>
      <c r="D800" s="81" t="s">
        <v>1236</v>
      </c>
    </row>
    <row r="801" spans="3:4">
      <c r="C801" s="82" t="s">
        <v>1227</v>
      </c>
      <c r="D801" s="81" t="s">
        <v>1235</v>
      </c>
    </row>
    <row r="802" spans="3:4">
      <c r="C802" s="82" t="s">
        <v>1227</v>
      </c>
      <c r="D802" s="81" t="s">
        <v>1234</v>
      </c>
    </row>
    <row r="803" spans="3:4">
      <c r="C803" s="82" t="s">
        <v>1227</v>
      </c>
      <c r="D803" s="81" t="s">
        <v>1233</v>
      </c>
    </row>
    <row r="804" spans="3:4">
      <c r="C804" s="82" t="s">
        <v>1227</v>
      </c>
      <c r="D804" s="81" t="s">
        <v>1232</v>
      </c>
    </row>
    <row r="805" spans="3:4">
      <c r="C805" s="82" t="s">
        <v>1227</v>
      </c>
      <c r="D805" s="81" t="s">
        <v>1092</v>
      </c>
    </row>
    <row r="806" spans="3:4">
      <c r="C806" s="82" t="s">
        <v>1227</v>
      </c>
      <c r="D806" s="81" t="s">
        <v>1231</v>
      </c>
    </row>
    <row r="807" spans="3:4">
      <c r="C807" s="82" t="s">
        <v>1227</v>
      </c>
      <c r="D807" s="81" t="s">
        <v>1230</v>
      </c>
    </row>
    <row r="808" spans="3:4">
      <c r="C808" s="82" t="s">
        <v>1227</v>
      </c>
      <c r="D808" s="81" t="s">
        <v>774</v>
      </c>
    </row>
    <row r="809" spans="3:4">
      <c r="C809" s="82" t="s">
        <v>1227</v>
      </c>
      <c r="D809" s="81" t="s">
        <v>1229</v>
      </c>
    </row>
    <row r="810" spans="3:4">
      <c r="C810" s="82" t="s">
        <v>1227</v>
      </c>
      <c r="D810" s="81" t="s">
        <v>1228</v>
      </c>
    </row>
    <row r="811" spans="3:4">
      <c r="C811" s="82" t="s">
        <v>1227</v>
      </c>
      <c r="D811" s="81" t="s">
        <v>1226</v>
      </c>
    </row>
    <row r="812" spans="3:4">
      <c r="C812" s="82" t="s">
        <v>1200</v>
      </c>
      <c r="D812" s="81" t="s">
        <v>1225</v>
      </c>
    </row>
    <row r="813" spans="3:4">
      <c r="C813" s="82" t="s">
        <v>1200</v>
      </c>
      <c r="D813" s="81" t="s">
        <v>1224</v>
      </c>
    </row>
    <row r="814" spans="3:4">
      <c r="C814" s="82" t="s">
        <v>1200</v>
      </c>
      <c r="D814" s="81" t="s">
        <v>1223</v>
      </c>
    </row>
    <row r="815" spans="3:4">
      <c r="C815" s="82" t="s">
        <v>1200</v>
      </c>
      <c r="D815" s="81" t="s">
        <v>1222</v>
      </c>
    </row>
    <row r="816" spans="3:4">
      <c r="C816" s="82" t="s">
        <v>1200</v>
      </c>
      <c r="D816" s="81" t="s">
        <v>1221</v>
      </c>
    </row>
    <row r="817" spans="3:4">
      <c r="C817" s="82" t="s">
        <v>1200</v>
      </c>
      <c r="D817" s="81" t="s">
        <v>1220</v>
      </c>
    </row>
    <row r="818" spans="3:4">
      <c r="C818" s="82" t="s">
        <v>1200</v>
      </c>
      <c r="D818" s="81" t="s">
        <v>1219</v>
      </c>
    </row>
    <row r="819" spans="3:4">
      <c r="C819" s="82" t="s">
        <v>1200</v>
      </c>
      <c r="D819" s="81" t="s">
        <v>1218</v>
      </c>
    </row>
    <row r="820" spans="3:4">
      <c r="C820" s="82" t="s">
        <v>1200</v>
      </c>
      <c r="D820" s="81" t="s">
        <v>1217</v>
      </c>
    </row>
    <row r="821" spans="3:4">
      <c r="C821" s="82" t="s">
        <v>1200</v>
      </c>
      <c r="D821" s="81" t="s">
        <v>1216</v>
      </c>
    </row>
    <row r="822" spans="3:4">
      <c r="C822" s="82" t="s">
        <v>1200</v>
      </c>
      <c r="D822" s="81" t="s">
        <v>1215</v>
      </c>
    </row>
    <row r="823" spans="3:4">
      <c r="C823" s="82" t="s">
        <v>1200</v>
      </c>
      <c r="D823" s="81" t="s">
        <v>1214</v>
      </c>
    </row>
    <row r="824" spans="3:4">
      <c r="C824" s="82" t="s">
        <v>1200</v>
      </c>
      <c r="D824" s="81" t="s">
        <v>1213</v>
      </c>
    </row>
    <row r="825" spans="3:4">
      <c r="C825" s="82" t="s">
        <v>1200</v>
      </c>
      <c r="D825" s="81" t="s">
        <v>1212</v>
      </c>
    </row>
    <row r="826" spans="3:4">
      <c r="C826" s="82" t="s">
        <v>1200</v>
      </c>
      <c r="D826" s="81" t="s">
        <v>1211</v>
      </c>
    </row>
    <row r="827" spans="3:4">
      <c r="C827" s="82" t="s">
        <v>1200</v>
      </c>
      <c r="D827" s="81" t="s">
        <v>1210</v>
      </c>
    </row>
    <row r="828" spans="3:4">
      <c r="C828" s="82" t="s">
        <v>1200</v>
      </c>
      <c r="D828" s="81" t="s">
        <v>745</v>
      </c>
    </row>
    <row r="829" spans="3:4">
      <c r="C829" s="82" t="s">
        <v>1200</v>
      </c>
      <c r="D829" s="81" t="s">
        <v>1209</v>
      </c>
    </row>
    <row r="830" spans="3:4">
      <c r="C830" s="82" t="s">
        <v>1200</v>
      </c>
      <c r="D830" s="81" t="s">
        <v>1208</v>
      </c>
    </row>
    <row r="831" spans="3:4">
      <c r="C831" s="82" t="s">
        <v>1200</v>
      </c>
      <c r="D831" s="81" t="s">
        <v>1207</v>
      </c>
    </row>
    <row r="832" spans="3:4">
      <c r="C832" s="82" t="s">
        <v>1200</v>
      </c>
      <c r="D832" s="81" t="s">
        <v>1206</v>
      </c>
    </row>
    <row r="833" spans="3:4">
      <c r="C833" s="82" t="s">
        <v>1200</v>
      </c>
      <c r="D833" s="81" t="s">
        <v>1205</v>
      </c>
    </row>
    <row r="834" spans="3:4">
      <c r="C834" s="82" t="s">
        <v>1200</v>
      </c>
      <c r="D834" s="81" t="s">
        <v>1204</v>
      </c>
    </row>
    <row r="835" spans="3:4">
      <c r="C835" s="82" t="s">
        <v>1200</v>
      </c>
      <c r="D835" s="81" t="s">
        <v>1203</v>
      </c>
    </row>
    <row r="836" spans="3:4">
      <c r="C836" s="82" t="s">
        <v>1200</v>
      </c>
      <c r="D836" s="81" t="s">
        <v>1202</v>
      </c>
    </row>
    <row r="837" spans="3:4">
      <c r="C837" s="82" t="s">
        <v>1200</v>
      </c>
      <c r="D837" s="81" t="s">
        <v>1201</v>
      </c>
    </row>
    <row r="838" spans="3:4">
      <c r="C838" s="82" t="s">
        <v>1200</v>
      </c>
      <c r="D838" s="81" t="s">
        <v>1199</v>
      </c>
    </row>
    <row r="839" spans="3:4">
      <c r="C839" s="82" t="s">
        <v>1125</v>
      </c>
      <c r="D839" s="81" t="s">
        <v>1198</v>
      </c>
    </row>
    <row r="840" spans="3:4">
      <c r="C840" s="82" t="s">
        <v>1125</v>
      </c>
      <c r="D840" s="81" t="s">
        <v>1197</v>
      </c>
    </row>
    <row r="841" spans="3:4">
      <c r="C841" s="82" t="s">
        <v>1125</v>
      </c>
      <c r="D841" s="81" t="s">
        <v>1196</v>
      </c>
    </row>
    <row r="842" spans="3:4">
      <c r="C842" s="82" t="s">
        <v>1125</v>
      </c>
      <c r="D842" s="81" t="s">
        <v>1195</v>
      </c>
    </row>
    <row r="843" spans="3:4">
      <c r="C843" s="82" t="s">
        <v>1125</v>
      </c>
      <c r="D843" s="81" t="s">
        <v>1194</v>
      </c>
    </row>
    <row r="844" spans="3:4">
      <c r="C844" s="82" t="s">
        <v>1125</v>
      </c>
      <c r="D844" s="81" t="s">
        <v>1193</v>
      </c>
    </row>
    <row r="845" spans="3:4">
      <c r="C845" s="82" t="s">
        <v>1125</v>
      </c>
      <c r="D845" s="81" t="s">
        <v>1192</v>
      </c>
    </row>
    <row r="846" spans="3:4">
      <c r="C846" s="82" t="s">
        <v>1125</v>
      </c>
      <c r="D846" s="81" t="s">
        <v>1191</v>
      </c>
    </row>
    <row r="847" spans="3:4">
      <c r="C847" s="82" t="s">
        <v>1125</v>
      </c>
      <c r="D847" s="81" t="s">
        <v>1190</v>
      </c>
    </row>
    <row r="848" spans="3:4">
      <c r="C848" s="82" t="s">
        <v>1125</v>
      </c>
      <c r="D848" s="81" t="s">
        <v>1189</v>
      </c>
    </row>
    <row r="849" spans="3:4">
      <c r="C849" s="82" t="s">
        <v>1125</v>
      </c>
      <c r="D849" s="81" t="s">
        <v>1188</v>
      </c>
    </row>
    <row r="850" spans="3:4">
      <c r="C850" s="82" t="s">
        <v>1125</v>
      </c>
      <c r="D850" s="81" t="s">
        <v>1187</v>
      </c>
    </row>
    <row r="851" spans="3:4">
      <c r="C851" s="82" t="s">
        <v>1125</v>
      </c>
      <c r="D851" s="81" t="s">
        <v>1186</v>
      </c>
    </row>
    <row r="852" spans="3:4">
      <c r="C852" s="82" t="s">
        <v>1125</v>
      </c>
      <c r="D852" s="81" t="s">
        <v>1185</v>
      </c>
    </row>
    <row r="853" spans="3:4">
      <c r="C853" s="82" t="s">
        <v>1125</v>
      </c>
      <c r="D853" s="81" t="s">
        <v>1184</v>
      </c>
    </row>
    <row r="854" spans="3:4">
      <c r="C854" s="82" t="s">
        <v>1125</v>
      </c>
      <c r="D854" s="81" t="s">
        <v>1183</v>
      </c>
    </row>
    <row r="855" spans="3:4">
      <c r="C855" s="82" t="s">
        <v>1125</v>
      </c>
      <c r="D855" s="81" t="s">
        <v>1182</v>
      </c>
    </row>
    <row r="856" spans="3:4">
      <c r="C856" s="82" t="s">
        <v>1125</v>
      </c>
      <c r="D856" s="81" t="s">
        <v>1181</v>
      </c>
    </row>
    <row r="857" spans="3:4">
      <c r="C857" s="82" t="s">
        <v>1125</v>
      </c>
      <c r="D857" s="81" t="s">
        <v>1180</v>
      </c>
    </row>
    <row r="858" spans="3:4">
      <c r="C858" s="82" t="s">
        <v>1125</v>
      </c>
      <c r="D858" s="81" t="s">
        <v>1179</v>
      </c>
    </row>
    <row r="859" spans="3:4">
      <c r="C859" s="82" t="s">
        <v>1125</v>
      </c>
      <c r="D859" s="81" t="s">
        <v>792</v>
      </c>
    </row>
    <row r="860" spans="3:4">
      <c r="C860" s="82" t="s">
        <v>1125</v>
      </c>
      <c r="D860" s="81" t="s">
        <v>1178</v>
      </c>
    </row>
    <row r="861" spans="3:4">
      <c r="C861" s="82" t="s">
        <v>1125</v>
      </c>
      <c r="D861" s="81" t="s">
        <v>1177</v>
      </c>
    </row>
    <row r="862" spans="3:4">
      <c r="C862" s="82" t="s">
        <v>1125</v>
      </c>
      <c r="D862" s="81" t="s">
        <v>1176</v>
      </c>
    </row>
    <row r="863" spans="3:4">
      <c r="C863" s="82" t="s">
        <v>1125</v>
      </c>
      <c r="D863" s="81" t="s">
        <v>1175</v>
      </c>
    </row>
    <row r="864" spans="3:4">
      <c r="C864" s="82" t="s">
        <v>1125</v>
      </c>
      <c r="D864" s="81" t="s">
        <v>1174</v>
      </c>
    </row>
    <row r="865" spans="3:4">
      <c r="C865" s="82" t="s">
        <v>1125</v>
      </c>
      <c r="D865" s="81" t="s">
        <v>1173</v>
      </c>
    </row>
    <row r="866" spans="3:4">
      <c r="C866" s="82" t="s">
        <v>1125</v>
      </c>
      <c r="D866" s="81" t="s">
        <v>1172</v>
      </c>
    </row>
    <row r="867" spans="3:4">
      <c r="C867" s="82" t="s">
        <v>1125</v>
      </c>
      <c r="D867" s="81" t="s">
        <v>1171</v>
      </c>
    </row>
    <row r="868" spans="3:4">
      <c r="C868" s="82" t="s">
        <v>1125</v>
      </c>
      <c r="D868" s="81" t="s">
        <v>1170</v>
      </c>
    </row>
    <row r="869" spans="3:4">
      <c r="C869" s="82" t="s">
        <v>1125</v>
      </c>
      <c r="D869" s="81" t="s">
        <v>1169</v>
      </c>
    </row>
    <row r="870" spans="3:4">
      <c r="C870" s="82" t="s">
        <v>1125</v>
      </c>
      <c r="D870" s="81" t="s">
        <v>1168</v>
      </c>
    </row>
    <row r="871" spans="3:4">
      <c r="C871" s="82" t="s">
        <v>1125</v>
      </c>
      <c r="D871" s="81" t="s">
        <v>1167</v>
      </c>
    </row>
    <row r="872" spans="3:4">
      <c r="C872" s="82" t="s">
        <v>1125</v>
      </c>
      <c r="D872" s="81" t="s">
        <v>1166</v>
      </c>
    </row>
    <row r="873" spans="3:4">
      <c r="C873" s="82" t="s">
        <v>1125</v>
      </c>
      <c r="D873" s="81" t="s">
        <v>1165</v>
      </c>
    </row>
    <row r="874" spans="3:4">
      <c r="C874" s="82" t="s">
        <v>1125</v>
      </c>
      <c r="D874" s="81" t="s">
        <v>1164</v>
      </c>
    </row>
    <row r="875" spans="3:4">
      <c r="C875" s="82" t="s">
        <v>1125</v>
      </c>
      <c r="D875" s="81" t="s">
        <v>1163</v>
      </c>
    </row>
    <row r="876" spans="3:4">
      <c r="C876" s="82" t="s">
        <v>1125</v>
      </c>
      <c r="D876" s="81" t="s">
        <v>1162</v>
      </c>
    </row>
    <row r="877" spans="3:4">
      <c r="C877" s="82" t="s">
        <v>1125</v>
      </c>
      <c r="D877" s="81" t="s">
        <v>1161</v>
      </c>
    </row>
    <row r="878" spans="3:4">
      <c r="C878" s="82" t="s">
        <v>1125</v>
      </c>
      <c r="D878" s="81" t="s">
        <v>1160</v>
      </c>
    </row>
    <row r="879" spans="3:4">
      <c r="C879" s="82" t="s">
        <v>1125</v>
      </c>
      <c r="D879" s="81" t="s">
        <v>420</v>
      </c>
    </row>
    <row r="880" spans="3:4">
      <c r="C880" s="82" t="s">
        <v>1125</v>
      </c>
      <c r="D880" s="81" t="s">
        <v>1159</v>
      </c>
    </row>
    <row r="881" spans="3:4">
      <c r="C881" s="82" t="s">
        <v>1125</v>
      </c>
      <c r="D881" s="81" t="s">
        <v>1158</v>
      </c>
    </row>
    <row r="882" spans="3:4">
      <c r="C882" s="82" t="s">
        <v>1125</v>
      </c>
      <c r="D882" s="81" t="s">
        <v>1157</v>
      </c>
    </row>
    <row r="883" spans="3:4">
      <c r="C883" s="82" t="s">
        <v>1125</v>
      </c>
      <c r="D883" s="81" t="s">
        <v>1156</v>
      </c>
    </row>
    <row r="884" spans="3:4">
      <c r="C884" s="82" t="s">
        <v>1125</v>
      </c>
      <c r="D884" s="81" t="s">
        <v>1155</v>
      </c>
    </row>
    <row r="885" spans="3:4">
      <c r="C885" s="82" t="s">
        <v>1125</v>
      </c>
      <c r="D885" s="81" t="s">
        <v>1154</v>
      </c>
    </row>
    <row r="886" spans="3:4">
      <c r="C886" s="82" t="s">
        <v>1125</v>
      </c>
      <c r="D886" s="81" t="s">
        <v>1153</v>
      </c>
    </row>
    <row r="887" spans="3:4">
      <c r="C887" s="82" t="s">
        <v>1125</v>
      </c>
      <c r="D887" s="81" t="s">
        <v>1152</v>
      </c>
    </row>
    <row r="888" spans="3:4">
      <c r="C888" s="82" t="s">
        <v>1125</v>
      </c>
      <c r="D888" s="81" t="s">
        <v>1151</v>
      </c>
    </row>
    <row r="889" spans="3:4">
      <c r="C889" s="82" t="s">
        <v>1125</v>
      </c>
      <c r="D889" s="81" t="s">
        <v>1150</v>
      </c>
    </row>
    <row r="890" spans="3:4">
      <c r="C890" s="82" t="s">
        <v>1125</v>
      </c>
      <c r="D890" s="81" t="s">
        <v>1149</v>
      </c>
    </row>
    <row r="891" spans="3:4">
      <c r="C891" s="82" t="s">
        <v>1125</v>
      </c>
      <c r="D891" s="81" t="s">
        <v>1148</v>
      </c>
    </row>
    <row r="892" spans="3:4">
      <c r="C892" s="82" t="s">
        <v>1125</v>
      </c>
      <c r="D892" s="81" t="s">
        <v>1147</v>
      </c>
    </row>
    <row r="893" spans="3:4">
      <c r="C893" s="82" t="s">
        <v>1125</v>
      </c>
      <c r="D893" s="81" t="s">
        <v>1146</v>
      </c>
    </row>
    <row r="894" spans="3:4">
      <c r="C894" s="82" t="s">
        <v>1125</v>
      </c>
      <c r="D894" s="81" t="s">
        <v>1145</v>
      </c>
    </row>
    <row r="895" spans="3:4">
      <c r="C895" s="82" t="s">
        <v>1125</v>
      </c>
      <c r="D895" s="81" t="s">
        <v>1144</v>
      </c>
    </row>
    <row r="896" spans="3:4">
      <c r="C896" s="82" t="s">
        <v>1125</v>
      </c>
      <c r="D896" s="81" t="s">
        <v>1143</v>
      </c>
    </row>
    <row r="897" spans="3:4">
      <c r="C897" s="82" t="s">
        <v>1125</v>
      </c>
      <c r="D897" s="81" t="s">
        <v>1142</v>
      </c>
    </row>
    <row r="898" spans="3:4">
      <c r="C898" s="82" t="s">
        <v>1125</v>
      </c>
      <c r="D898" s="81" t="s">
        <v>1141</v>
      </c>
    </row>
    <row r="899" spans="3:4">
      <c r="C899" s="82" t="s">
        <v>1125</v>
      </c>
      <c r="D899" s="81" t="s">
        <v>1140</v>
      </c>
    </row>
    <row r="900" spans="3:4">
      <c r="C900" s="82" t="s">
        <v>1125</v>
      </c>
      <c r="D900" s="81" t="s">
        <v>1139</v>
      </c>
    </row>
    <row r="901" spans="3:4">
      <c r="C901" s="82" t="s">
        <v>1125</v>
      </c>
      <c r="D901" s="81" t="s">
        <v>1138</v>
      </c>
    </row>
    <row r="902" spans="3:4">
      <c r="C902" s="82" t="s">
        <v>1125</v>
      </c>
      <c r="D902" s="81" t="s">
        <v>1092</v>
      </c>
    </row>
    <row r="903" spans="3:4">
      <c r="C903" s="82" t="s">
        <v>1125</v>
      </c>
      <c r="D903" s="81" t="s">
        <v>1137</v>
      </c>
    </row>
    <row r="904" spans="3:4">
      <c r="C904" s="82" t="s">
        <v>1125</v>
      </c>
      <c r="D904" s="81" t="s">
        <v>1136</v>
      </c>
    </row>
    <row r="905" spans="3:4">
      <c r="C905" s="82" t="s">
        <v>1125</v>
      </c>
      <c r="D905" s="81" t="s">
        <v>1135</v>
      </c>
    </row>
    <row r="906" spans="3:4">
      <c r="C906" s="82" t="s">
        <v>1125</v>
      </c>
      <c r="D906" s="81" t="s">
        <v>1134</v>
      </c>
    </row>
    <row r="907" spans="3:4">
      <c r="C907" s="82" t="s">
        <v>1125</v>
      </c>
      <c r="D907" s="81" t="s">
        <v>1133</v>
      </c>
    </row>
    <row r="908" spans="3:4">
      <c r="C908" s="82" t="s">
        <v>1125</v>
      </c>
      <c r="D908" s="81" t="s">
        <v>1132</v>
      </c>
    </row>
    <row r="909" spans="3:4">
      <c r="C909" s="82" t="s">
        <v>1125</v>
      </c>
      <c r="D909" s="81" t="s">
        <v>1131</v>
      </c>
    </row>
    <row r="910" spans="3:4">
      <c r="C910" s="82" t="s">
        <v>1125</v>
      </c>
      <c r="D910" s="81" t="s">
        <v>1130</v>
      </c>
    </row>
    <row r="911" spans="3:4">
      <c r="C911" s="82" t="s">
        <v>1125</v>
      </c>
      <c r="D911" s="81" t="s">
        <v>1129</v>
      </c>
    </row>
    <row r="912" spans="3:4">
      <c r="C912" s="82" t="s">
        <v>1125</v>
      </c>
      <c r="D912" s="81" t="s">
        <v>1128</v>
      </c>
    </row>
    <row r="913" spans="3:4">
      <c r="C913" s="82" t="s">
        <v>1125</v>
      </c>
      <c r="D913" s="81" t="s">
        <v>1127</v>
      </c>
    </row>
    <row r="914" spans="3:4">
      <c r="C914" s="82" t="s">
        <v>1125</v>
      </c>
      <c r="D914" s="81" t="s">
        <v>1126</v>
      </c>
    </row>
    <row r="915" spans="3:4">
      <c r="C915" s="82" t="s">
        <v>1125</v>
      </c>
      <c r="D915" s="81" t="s">
        <v>1124</v>
      </c>
    </row>
    <row r="916" spans="3:4">
      <c r="C916" s="82" t="s">
        <v>1082</v>
      </c>
      <c r="D916" s="81" t="s">
        <v>1123</v>
      </c>
    </row>
    <row r="917" spans="3:4">
      <c r="C917" s="82" t="s">
        <v>1082</v>
      </c>
      <c r="D917" s="81" t="s">
        <v>1122</v>
      </c>
    </row>
    <row r="918" spans="3:4">
      <c r="C918" s="82" t="s">
        <v>1082</v>
      </c>
      <c r="D918" s="81" t="s">
        <v>1121</v>
      </c>
    </row>
    <row r="919" spans="3:4">
      <c r="C919" s="82" t="s">
        <v>1082</v>
      </c>
      <c r="D919" s="81" t="s">
        <v>1120</v>
      </c>
    </row>
    <row r="920" spans="3:4">
      <c r="C920" s="82" t="s">
        <v>1082</v>
      </c>
      <c r="D920" s="81" t="s">
        <v>1119</v>
      </c>
    </row>
    <row r="921" spans="3:4">
      <c r="C921" s="82" t="s">
        <v>1082</v>
      </c>
      <c r="D921" s="81" t="s">
        <v>1118</v>
      </c>
    </row>
    <row r="922" spans="3:4">
      <c r="C922" s="82" t="s">
        <v>1082</v>
      </c>
      <c r="D922" s="81" t="s">
        <v>1117</v>
      </c>
    </row>
    <row r="923" spans="3:4">
      <c r="C923" s="82" t="s">
        <v>1082</v>
      </c>
      <c r="D923" s="81" t="s">
        <v>1116</v>
      </c>
    </row>
    <row r="924" spans="3:4">
      <c r="C924" s="82" t="s">
        <v>1082</v>
      </c>
      <c r="D924" s="81" t="s">
        <v>1115</v>
      </c>
    </row>
    <row r="925" spans="3:4">
      <c r="C925" s="82" t="s">
        <v>1082</v>
      </c>
      <c r="D925" s="81" t="s">
        <v>1114</v>
      </c>
    </row>
    <row r="926" spans="3:4">
      <c r="C926" s="82" t="s">
        <v>1082</v>
      </c>
      <c r="D926" s="81" t="s">
        <v>1113</v>
      </c>
    </row>
    <row r="927" spans="3:4">
      <c r="C927" s="82" t="s">
        <v>1082</v>
      </c>
      <c r="D927" s="81" t="s">
        <v>1112</v>
      </c>
    </row>
    <row r="928" spans="3:4">
      <c r="C928" s="82" t="s">
        <v>1082</v>
      </c>
      <c r="D928" s="81" t="s">
        <v>1111</v>
      </c>
    </row>
    <row r="929" spans="3:4">
      <c r="C929" s="82" t="s">
        <v>1082</v>
      </c>
      <c r="D929" s="81" t="s">
        <v>1110</v>
      </c>
    </row>
    <row r="930" spans="3:4">
      <c r="C930" s="82" t="s">
        <v>1082</v>
      </c>
      <c r="D930" s="81" t="s">
        <v>1109</v>
      </c>
    </row>
    <row r="931" spans="3:4">
      <c r="C931" s="82" t="s">
        <v>1082</v>
      </c>
      <c r="D931" s="81" t="s">
        <v>1108</v>
      </c>
    </row>
    <row r="932" spans="3:4">
      <c r="C932" s="82" t="s">
        <v>1082</v>
      </c>
      <c r="D932" s="81" t="s">
        <v>1107</v>
      </c>
    </row>
    <row r="933" spans="3:4">
      <c r="C933" s="82" t="s">
        <v>1082</v>
      </c>
      <c r="D933" s="81" t="s">
        <v>1106</v>
      </c>
    </row>
    <row r="934" spans="3:4">
      <c r="C934" s="82" t="s">
        <v>1082</v>
      </c>
      <c r="D934" s="81" t="s">
        <v>1105</v>
      </c>
    </row>
    <row r="935" spans="3:4">
      <c r="C935" s="82" t="s">
        <v>1082</v>
      </c>
      <c r="D935" s="81" t="s">
        <v>1104</v>
      </c>
    </row>
    <row r="936" spans="3:4">
      <c r="C936" s="82" t="s">
        <v>1082</v>
      </c>
      <c r="D936" s="81" t="s">
        <v>1103</v>
      </c>
    </row>
    <row r="937" spans="3:4">
      <c r="C937" s="82" t="s">
        <v>1082</v>
      </c>
      <c r="D937" s="81" t="s">
        <v>1102</v>
      </c>
    </row>
    <row r="938" spans="3:4">
      <c r="C938" s="82" t="s">
        <v>1082</v>
      </c>
      <c r="D938" s="81" t="s">
        <v>1101</v>
      </c>
    </row>
    <row r="939" spans="3:4">
      <c r="C939" s="82" t="s">
        <v>1082</v>
      </c>
      <c r="D939" s="81" t="s">
        <v>1100</v>
      </c>
    </row>
    <row r="940" spans="3:4">
      <c r="C940" s="82" t="s">
        <v>1082</v>
      </c>
      <c r="D940" s="81" t="s">
        <v>1099</v>
      </c>
    </row>
    <row r="941" spans="3:4">
      <c r="C941" s="82" t="s">
        <v>1082</v>
      </c>
      <c r="D941" s="81" t="s">
        <v>1098</v>
      </c>
    </row>
    <row r="942" spans="3:4">
      <c r="C942" s="82" t="s">
        <v>1082</v>
      </c>
      <c r="D942" s="81" t="s">
        <v>1097</v>
      </c>
    </row>
    <row r="943" spans="3:4">
      <c r="C943" s="82" t="s">
        <v>1082</v>
      </c>
      <c r="D943" s="81" t="s">
        <v>1096</v>
      </c>
    </row>
    <row r="944" spans="3:4">
      <c r="C944" s="82" t="s">
        <v>1082</v>
      </c>
      <c r="D944" s="81" t="s">
        <v>1095</v>
      </c>
    </row>
    <row r="945" spans="3:4">
      <c r="C945" s="82" t="s">
        <v>1082</v>
      </c>
      <c r="D945" s="81" t="s">
        <v>1094</v>
      </c>
    </row>
    <row r="946" spans="3:4">
      <c r="C946" s="82" t="s">
        <v>1082</v>
      </c>
      <c r="D946" s="81" t="s">
        <v>1093</v>
      </c>
    </row>
    <row r="947" spans="3:4">
      <c r="C947" s="82" t="s">
        <v>1082</v>
      </c>
      <c r="D947" s="81" t="s">
        <v>1092</v>
      </c>
    </row>
    <row r="948" spans="3:4">
      <c r="C948" s="82" t="s">
        <v>1082</v>
      </c>
      <c r="D948" s="81" t="s">
        <v>1091</v>
      </c>
    </row>
    <row r="949" spans="3:4">
      <c r="C949" s="82" t="s">
        <v>1082</v>
      </c>
      <c r="D949" s="81" t="s">
        <v>1090</v>
      </c>
    </row>
    <row r="950" spans="3:4">
      <c r="C950" s="82" t="s">
        <v>1082</v>
      </c>
      <c r="D950" s="81" t="s">
        <v>1089</v>
      </c>
    </row>
    <row r="951" spans="3:4">
      <c r="C951" s="82" t="s">
        <v>1082</v>
      </c>
      <c r="D951" s="81" t="s">
        <v>1088</v>
      </c>
    </row>
    <row r="952" spans="3:4">
      <c r="C952" s="82" t="s">
        <v>1082</v>
      </c>
      <c r="D952" s="81" t="s">
        <v>1087</v>
      </c>
    </row>
    <row r="953" spans="3:4">
      <c r="C953" s="82" t="s">
        <v>1082</v>
      </c>
      <c r="D953" s="81" t="s">
        <v>1086</v>
      </c>
    </row>
    <row r="954" spans="3:4">
      <c r="C954" s="82" t="s">
        <v>1082</v>
      </c>
      <c r="D954" s="81" t="s">
        <v>1085</v>
      </c>
    </row>
    <row r="955" spans="3:4">
      <c r="C955" s="82" t="s">
        <v>1082</v>
      </c>
      <c r="D955" s="81" t="s">
        <v>1084</v>
      </c>
    </row>
    <row r="956" spans="3:4">
      <c r="C956" s="82" t="s">
        <v>1082</v>
      </c>
      <c r="D956" s="81" t="s">
        <v>1083</v>
      </c>
    </row>
    <row r="957" spans="3:4">
      <c r="C957" s="82" t="s">
        <v>1082</v>
      </c>
      <c r="D957" s="81" t="s">
        <v>1081</v>
      </c>
    </row>
    <row r="958" spans="3:4">
      <c r="C958" s="82" t="s">
        <v>1046</v>
      </c>
      <c r="D958" s="81" t="s">
        <v>1080</v>
      </c>
    </row>
    <row r="959" spans="3:4">
      <c r="C959" s="82" t="s">
        <v>1046</v>
      </c>
      <c r="D959" s="81" t="s">
        <v>1079</v>
      </c>
    </row>
    <row r="960" spans="3:4">
      <c r="C960" s="82" t="s">
        <v>1046</v>
      </c>
      <c r="D960" s="81" t="s">
        <v>1078</v>
      </c>
    </row>
    <row r="961" spans="3:4">
      <c r="C961" s="82" t="s">
        <v>1046</v>
      </c>
      <c r="D961" s="81" t="s">
        <v>1077</v>
      </c>
    </row>
    <row r="962" spans="3:4">
      <c r="C962" s="82" t="s">
        <v>1046</v>
      </c>
      <c r="D962" s="81" t="s">
        <v>1076</v>
      </c>
    </row>
    <row r="963" spans="3:4">
      <c r="C963" s="82" t="s">
        <v>1046</v>
      </c>
      <c r="D963" s="81" t="s">
        <v>1075</v>
      </c>
    </row>
    <row r="964" spans="3:4">
      <c r="C964" s="82" t="s">
        <v>1046</v>
      </c>
      <c r="D964" s="81" t="s">
        <v>1074</v>
      </c>
    </row>
    <row r="965" spans="3:4">
      <c r="C965" s="82" t="s">
        <v>1046</v>
      </c>
      <c r="D965" s="81" t="s">
        <v>1073</v>
      </c>
    </row>
    <row r="966" spans="3:4">
      <c r="C966" s="82" t="s">
        <v>1046</v>
      </c>
      <c r="D966" s="81" t="s">
        <v>1072</v>
      </c>
    </row>
    <row r="967" spans="3:4">
      <c r="C967" s="82" t="s">
        <v>1046</v>
      </c>
      <c r="D967" s="81" t="s">
        <v>1071</v>
      </c>
    </row>
    <row r="968" spans="3:4">
      <c r="C968" s="82" t="s">
        <v>1046</v>
      </c>
      <c r="D968" s="81" t="s">
        <v>1070</v>
      </c>
    </row>
    <row r="969" spans="3:4">
      <c r="C969" s="82" t="s">
        <v>1046</v>
      </c>
      <c r="D969" s="81" t="s">
        <v>1069</v>
      </c>
    </row>
    <row r="970" spans="3:4">
      <c r="C970" s="82" t="s">
        <v>1046</v>
      </c>
      <c r="D970" s="81" t="s">
        <v>1068</v>
      </c>
    </row>
    <row r="971" spans="3:4">
      <c r="C971" s="82" t="s">
        <v>1046</v>
      </c>
      <c r="D971" s="81" t="s">
        <v>1067</v>
      </c>
    </row>
    <row r="972" spans="3:4">
      <c r="C972" s="82" t="s">
        <v>1046</v>
      </c>
      <c r="D972" s="81" t="s">
        <v>1066</v>
      </c>
    </row>
    <row r="973" spans="3:4">
      <c r="C973" s="82" t="s">
        <v>1046</v>
      </c>
      <c r="D973" s="81" t="s">
        <v>1065</v>
      </c>
    </row>
    <row r="974" spans="3:4">
      <c r="C974" s="82" t="s">
        <v>1046</v>
      </c>
      <c r="D974" s="81" t="s">
        <v>1064</v>
      </c>
    </row>
    <row r="975" spans="3:4">
      <c r="C975" s="82" t="s">
        <v>1046</v>
      </c>
      <c r="D975" s="81" t="s">
        <v>1063</v>
      </c>
    </row>
    <row r="976" spans="3:4">
      <c r="C976" s="82" t="s">
        <v>1046</v>
      </c>
      <c r="D976" s="81" t="s">
        <v>1062</v>
      </c>
    </row>
    <row r="977" spans="3:4">
      <c r="C977" s="82" t="s">
        <v>1046</v>
      </c>
      <c r="D977" s="81" t="s">
        <v>1061</v>
      </c>
    </row>
    <row r="978" spans="3:4">
      <c r="C978" s="82" t="s">
        <v>1046</v>
      </c>
      <c r="D978" s="81" t="s">
        <v>1060</v>
      </c>
    </row>
    <row r="979" spans="3:4">
      <c r="C979" s="82" t="s">
        <v>1046</v>
      </c>
      <c r="D979" s="81" t="s">
        <v>1059</v>
      </c>
    </row>
    <row r="980" spans="3:4">
      <c r="C980" s="82" t="s">
        <v>1046</v>
      </c>
      <c r="D980" s="81" t="s">
        <v>1058</v>
      </c>
    </row>
    <row r="981" spans="3:4">
      <c r="C981" s="82" t="s">
        <v>1046</v>
      </c>
      <c r="D981" s="81" t="s">
        <v>1057</v>
      </c>
    </row>
    <row r="982" spans="3:4">
      <c r="C982" s="82" t="s">
        <v>1046</v>
      </c>
      <c r="D982" s="81" t="s">
        <v>1056</v>
      </c>
    </row>
    <row r="983" spans="3:4">
      <c r="C983" s="82" t="s">
        <v>1046</v>
      </c>
      <c r="D983" s="81" t="s">
        <v>1055</v>
      </c>
    </row>
    <row r="984" spans="3:4">
      <c r="C984" s="82" t="s">
        <v>1046</v>
      </c>
      <c r="D984" s="81" t="s">
        <v>1054</v>
      </c>
    </row>
    <row r="985" spans="3:4">
      <c r="C985" s="82" t="s">
        <v>1046</v>
      </c>
      <c r="D985" s="81" t="s">
        <v>1053</v>
      </c>
    </row>
    <row r="986" spans="3:4">
      <c r="C986" s="82" t="s">
        <v>1046</v>
      </c>
      <c r="D986" s="81" t="s">
        <v>1052</v>
      </c>
    </row>
    <row r="987" spans="3:4">
      <c r="C987" s="82" t="s">
        <v>1046</v>
      </c>
      <c r="D987" s="81" t="s">
        <v>1051</v>
      </c>
    </row>
    <row r="988" spans="3:4">
      <c r="C988" s="82" t="s">
        <v>1046</v>
      </c>
      <c r="D988" s="81" t="s">
        <v>1050</v>
      </c>
    </row>
    <row r="989" spans="3:4">
      <c r="C989" s="82" t="s">
        <v>1046</v>
      </c>
      <c r="D989" s="81" t="s">
        <v>1049</v>
      </c>
    </row>
    <row r="990" spans="3:4">
      <c r="C990" s="82" t="s">
        <v>1046</v>
      </c>
      <c r="D990" s="81" t="s">
        <v>1048</v>
      </c>
    </row>
    <row r="991" spans="3:4">
      <c r="C991" s="82" t="s">
        <v>1046</v>
      </c>
      <c r="D991" s="81" t="s">
        <v>1047</v>
      </c>
    </row>
    <row r="992" spans="3:4">
      <c r="C992" s="82" t="s">
        <v>1046</v>
      </c>
      <c r="D992" s="81" t="s">
        <v>1045</v>
      </c>
    </row>
    <row r="993" spans="3:4">
      <c r="C993" s="82" t="s">
        <v>992</v>
      </c>
      <c r="D993" s="81" t="s">
        <v>1044</v>
      </c>
    </row>
    <row r="994" spans="3:4">
      <c r="C994" s="82" t="s">
        <v>992</v>
      </c>
      <c r="D994" s="81" t="s">
        <v>1043</v>
      </c>
    </row>
    <row r="995" spans="3:4">
      <c r="C995" s="82" t="s">
        <v>992</v>
      </c>
      <c r="D995" s="81" t="s">
        <v>1042</v>
      </c>
    </row>
    <row r="996" spans="3:4">
      <c r="C996" s="82" t="s">
        <v>992</v>
      </c>
      <c r="D996" s="81" t="s">
        <v>1041</v>
      </c>
    </row>
    <row r="997" spans="3:4">
      <c r="C997" s="82" t="s">
        <v>992</v>
      </c>
      <c r="D997" s="81" t="s">
        <v>1040</v>
      </c>
    </row>
    <row r="998" spans="3:4">
      <c r="C998" s="82" t="s">
        <v>992</v>
      </c>
      <c r="D998" s="81" t="s">
        <v>1039</v>
      </c>
    </row>
    <row r="999" spans="3:4">
      <c r="C999" s="82" t="s">
        <v>992</v>
      </c>
      <c r="D999" s="81" t="s">
        <v>1038</v>
      </c>
    </row>
    <row r="1000" spans="3:4">
      <c r="C1000" s="82" t="s">
        <v>992</v>
      </c>
      <c r="D1000" s="81" t="s">
        <v>1037</v>
      </c>
    </row>
    <row r="1001" spans="3:4">
      <c r="C1001" s="82" t="s">
        <v>992</v>
      </c>
      <c r="D1001" s="81" t="s">
        <v>1036</v>
      </c>
    </row>
    <row r="1002" spans="3:4">
      <c r="C1002" s="82" t="s">
        <v>992</v>
      </c>
      <c r="D1002" s="81" t="s">
        <v>1035</v>
      </c>
    </row>
    <row r="1003" spans="3:4">
      <c r="C1003" s="82" t="s">
        <v>992</v>
      </c>
      <c r="D1003" s="81" t="s">
        <v>1034</v>
      </c>
    </row>
    <row r="1004" spans="3:4">
      <c r="C1004" s="82" t="s">
        <v>992</v>
      </c>
      <c r="D1004" s="81" t="s">
        <v>1033</v>
      </c>
    </row>
    <row r="1005" spans="3:4">
      <c r="C1005" s="82" t="s">
        <v>992</v>
      </c>
      <c r="D1005" s="81" t="s">
        <v>1032</v>
      </c>
    </row>
    <row r="1006" spans="3:4">
      <c r="C1006" s="82" t="s">
        <v>992</v>
      </c>
      <c r="D1006" s="81" t="s">
        <v>1031</v>
      </c>
    </row>
    <row r="1007" spans="3:4">
      <c r="C1007" s="82" t="s">
        <v>992</v>
      </c>
      <c r="D1007" s="81" t="s">
        <v>1030</v>
      </c>
    </row>
    <row r="1008" spans="3:4">
      <c r="C1008" s="82" t="s">
        <v>992</v>
      </c>
      <c r="D1008" s="81" t="s">
        <v>1029</v>
      </c>
    </row>
    <row r="1009" spans="3:4">
      <c r="C1009" s="82" t="s">
        <v>992</v>
      </c>
      <c r="D1009" s="81" t="s">
        <v>1028</v>
      </c>
    </row>
    <row r="1010" spans="3:4">
      <c r="C1010" s="82" t="s">
        <v>992</v>
      </c>
      <c r="D1010" s="81" t="s">
        <v>1027</v>
      </c>
    </row>
    <row r="1011" spans="3:4">
      <c r="C1011" s="82" t="s">
        <v>992</v>
      </c>
      <c r="D1011" s="81" t="s">
        <v>1026</v>
      </c>
    </row>
    <row r="1012" spans="3:4">
      <c r="C1012" s="82" t="s">
        <v>992</v>
      </c>
      <c r="D1012" s="81" t="s">
        <v>1025</v>
      </c>
    </row>
    <row r="1013" spans="3:4">
      <c r="C1013" s="82" t="s">
        <v>992</v>
      </c>
      <c r="D1013" s="81" t="s">
        <v>1024</v>
      </c>
    </row>
    <row r="1014" spans="3:4">
      <c r="C1014" s="82" t="s">
        <v>992</v>
      </c>
      <c r="D1014" s="81" t="s">
        <v>1023</v>
      </c>
    </row>
    <row r="1015" spans="3:4">
      <c r="C1015" s="82" t="s">
        <v>992</v>
      </c>
      <c r="D1015" s="81" t="s">
        <v>1022</v>
      </c>
    </row>
    <row r="1016" spans="3:4">
      <c r="C1016" s="82" t="s">
        <v>992</v>
      </c>
      <c r="D1016" s="81" t="s">
        <v>1021</v>
      </c>
    </row>
    <row r="1017" spans="3:4">
      <c r="C1017" s="82" t="s">
        <v>992</v>
      </c>
      <c r="D1017" s="81" t="s">
        <v>1020</v>
      </c>
    </row>
    <row r="1018" spans="3:4">
      <c r="C1018" s="82" t="s">
        <v>992</v>
      </c>
      <c r="D1018" s="81" t="s">
        <v>1019</v>
      </c>
    </row>
    <row r="1019" spans="3:4">
      <c r="C1019" s="82" t="s">
        <v>992</v>
      </c>
      <c r="D1019" s="81" t="s">
        <v>1018</v>
      </c>
    </row>
    <row r="1020" spans="3:4">
      <c r="C1020" s="82" t="s">
        <v>992</v>
      </c>
      <c r="D1020" s="81" t="s">
        <v>1017</v>
      </c>
    </row>
    <row r="1021" spans="3:4">
      <c r="C1021" s="82" t="s">
        <v>992</v>
      </c>
      <c r="D1021" s="81" t="s">
        <v>1016</v>
      </c>
    </row>
    <row r="1022" spans="3:4">
      <c r="C1022" s="82" t="s">
        <v>992</v>
      </c>
      <c r="D1022" s="81" t="s">
        <v>1015</v>
      </c>
    </row>
    <row r="1023" spans="3:4">
      <c r="C1023" s="82" t="s">
        <v>992</v>
      </c>
      <c r="D1023" s="81" t="s">
        <v>1014</v>
      </c>
    </row>
    <row r="1024" spans="3:4">
      <c r="C1024" s="82" t="s">
        <v>992</v>
      </c>
      <c r="D1024" s="81" t="s">
        <v>1013</v>
      </c>
    </row>
    <row r="1025" spans="3:4">
      <c r="C1025" s="82" t="s">
        <v>992</v>
      </c>
      <c r="D1025" s="81" t="s">
        <v>1012</v>
      </c>
    </row>
    <row r="1026" spans="3:4">
      <c r="C1026" s="82" t="s">
        <v>992</v>
      </c>
      <c r="D1026" s="81" t="s">
        <v>1011</v>
      </c>
    </row>
    <row r="1027" spans="3:4">
      <c r="C1027" s="82" t="s">
        <v>992</v>
      </c>
      <c r="D1027" s="81" t="s">
        <v>1010</v>
      </c>
    </row>
    <row r="1028" spans="3:4">
      <c r="C1028" s="82" t="s">
        <v>992</v>
      </c>
      <c r="D1028" s="81" t="s">
        <v>1009</v>
      </c>
    </row>
    <row r="1029" spans="3:4">
      <c r="C1029" s="82" t="s">
        <v>992</v>
      </c>
      <c r="D1029" s="81" t="s">
        <v>1008</v>
      </c>
    </row>
    <row r="1030" spans="3:4">
      <c r="C1030" s="82" t="s">
        <v>992</v>
      </c>
      <c r="D1030" s="81" t="s">
        <v>1007</v>
      </c>
    </row>
    <row r="1031" spans="3:4">
      <c r="C1031" s="82" t="s">
        <v>992</v>
      </c>
      <c r="D1031" s="81" t="s">
        <v>1006</v>
      </c>
    </row>
    <row r="1032" spans="3:4">
      <c r="C1032" s="82" t="s">
        <v>992</v>
      </c>
      <c r="D1032" s="81" t="s">
        <v>1005</v>
      </c>
    </row>
    <row r="1033" spans="3:4">
      <c r="C1033" s="82" t="s">
        <v>992</v>
      </c>
      <c r="D1033" s="81" t="s">
        <v>1004</v>
      </c>
    </row>
    <row r="1034" spans="3:4">
      <c r="C1034" s="82" t="s">
        <v>992</v>
      </c>
      <c r="D1034" s="81" t="s">
        <v>1003</v>
      </c>
    </row>
    <row r="1035" spans="3:4">
      <c r="C1035" s="82" t="s">
        <v>992</v>
      </c>
      <c r="D1035" s="81" t="s">
        <v>1002</v>
      </c>
    </row>
    <row r="1036" spans="3:4">
      <c r="C1036" s="82" t="s">
        <v>992</v>
      </c>
      <c r="D1036" s="81" t="s">
        <v>1001</v>
      </c>
    </row>
    <row r="1037" spans="3:4">
      <c r="C1037" s="82" t="s">
        <v>992</v>
      </c>
      <c r="D1037" s="81" t="s">
        <v>1000</v>
      </c>
    </row>
    <row r="1038" spans="3:4">
      <c r="C1038" s="82" t="s">
        <v>992</v>
      </c>
      <c r="D1038" s="81" t="s">
        <v>999</v>
      </c>
    </row>
    <row r="1039" spans="3:4">
      <c r="C1039" s="82" t="s">
        <v>992</v>
      </c>
      <c r="D1039" s="81" t="s">
        <v>998</v>
      </c>
    </row>
    <row r="1040" spans="3:4">
      <c r="C1040" s="82" t="s">
        <v>992</v>
      </c>
      <c r="D1040" s="81" t="s">
        <v>997</v>
      </c>
    </row>
    <row r="1041" spans="3:4">
      <c r="C1041" s="82" t="s">
        <v>992</v>
      </c>
      <c r="D1041" s="81" t="s">
        <v>774</v>
      </c>
    </row>
    <row r="1042" spans="3:4">
      <c r="C1042" s="82" t="s">
        <v>992</v>
      </c>
      <c r="D1042" s="81" t="s">
        <v>996</v>
      </c>
    </row>
    <row r="1043" spans="3:4">
      <c r="C1043" s="82" t="s">
        <v>992</v>
      </c>
      <c r="D1043" s="81" t="s">
        <v>995</v>
      </c>
    </row>
    <row r="1044" spans="3:4">
      <c r="C1044" s="82" t="s">
        <v>992</v>
      </c>
      <c r="D1044" s="81" t="s">
        <v>994</v>
      </c>
    </row>
    <row r="1045" spans="3:4">
      <c r="C1045" s="82" t="s">
        <v>992</v>
      </c>
      <c r="D1045" s="81" t="s">
        <v>993</v>
      </c>
    </row>
    <row r="1046" spans="3:4">
      <c r="C1046" s="82" t="s">
        <v>992</v>
      </c>
      <c r="D1046" s="81" t="s">
        <v>991</v>
      </c>
    </row>
    <row r="1047" spans="3:4">
      <c r="C1047" s="82" t="s">
        <v>962</v>
      </c>
      <c r="D1047" s="81" t="s">
        <v>990</v>
      </c>
    </row>
    <row r="1048" spans="3:4">
      <c r="C1048" s="82" t="s">
        <v>962</v>
      </c>
      <c r="D1048" s="81" t="s">
        <v>989</v>
      </c>
    </row>
    <row r="1049" spans="3:4">
      <c r="C1049" s="82" t="s">
        <v>962</v>
      </c>
      <c r="D1049" s="81" t="s">
        <v>988</v>
      </c>
    </row>
    <row r="1050" spans="3:4">
      <c r="C1050" s="82" t="s">
        <v>962</v>
      </c>
      <c r="D1050" s="81" t="s">
        <v>987</v>
      </c>
    </row>
    <row r="1051" spans="3:4">
      <c r="C1051" s="82" t="s">
        <v>962</v>
      </c>
      <c r="D1051" s="81" t="s">
        <v>986</v>
      </c>
    </row>
    <row r="1052" spans="3:4">
      <c r="C1052" s="82" t="s">
        <v>962</v>
      </c>
      <c r="D1052" s="81" t="s">
        <v>985</v>
      </c>
    </row>
    <row r="1053" spans="3:4">
      <c r="C1053" s="82" t="s">
        <v>962</v>
      </c>
      <c r="D1053" s="81" t="s">
        <v>984</v>
      </c>
    </row>
    <row r="1054" spans="3:4">
      <c r="C1054" s="82" t="s">
        <v>962</v>
      </c>
      <c r="D1054" s="81" t="s">
        <v>983</v>
      </c>
    </row>
    <row r="1055" spans="3:4">
      <c r="C1055" s="82" t="s">
        <v>962</v>
      </c>
      <c r="D1055" s="81" t="s">
        <v>982</v>
      </c>
    </row>
    <row r="1056" spans="3:4">
      <c r="C1056" s="82" t="s">
        <v>962</v>
      </c>
      <c r="D1056" s="81" t="s">
        <v>981</v>
      </c>
    </row>
    <row r="1057" spans="3:4">
      <c r="C1057" s="82" t="s">
        <v>962</v>
      </c>
      <c r="D1057" s="81" t="s">
        <v>980</v>
      </c>
    </row>
    <row r="1058" spans="3:4">
      <c r="C1058" s="82" t="s">
        <v>962</v>
      </c>
      <c r="D1058" s="81" t="s">
        <v>979</v>
      </c>
    </row>
    <row r="1059" spans="3:4">
      <c r="C1059" s="82" t="s">
        <v>962</v>
      </c>
      <c r="D1059" s="81" t="s">
        <v>978</v>
      </c>
    </row>
    <row r="1060" spans="3:4">
      <c r="C1060" s="82" t="s">
        <v>962</v>
      </c>
      <c r="D1060" s="81" t="s">
        <v>977</v>
      </c>
    </row>
    <row r="1061" spans="3:4">
      <c r="C1061" s="82" t="s">
        <v>962</v>
      </c>
      <c r="D1061" s="81" t="s">
        <v>976</v>
      </c>
    </row>
    <row r="1062" spans="3:4">
      <c r="C1062" s="82" t="s">
        <v>962</v>
      </c>
      <c r="D1062" s="81" t="s">
        <v>975</v>
      </c>
    </row>
    <row r="1063" spans="3:4">
      <c r="C1063" s="82" t="s">
        <v>962</v>
      </c>
      <c r="D1063" s="81" t="s">
        <v>974</v>
      </c>
    </row>
    <row r="1064" spans="3:4">
      <c r="C1064" s="82" t="s">
        <v>962</v>
      </c>
      <c r="D1064" s="81" t="s">
        <v>973</v>
      </c>
    </row>
    <row r="1065" spans="3:4">
      <c r="C1065" s="82" t="s">
        <v>962</v>
      </c>
      <c r="D1065" s="81" t="s">
        <v>972</v>
      </c>
    </row>
    <row r="1066" spans="3:4">
      <c r="C1066" s="82" t="s">
        <v>962</v>
      </c>
      <c r="D1066" s="81" t="s">
        <v>971</v>
      </c>
    </row>
    <row r="1067" spans="3:4">
      <c r="C1067" s="82" t="s">
        <v>962</v>
      </c>
      <c r="D1067" s="81" t="s">
        <v>970</v>
      </c>
    </row>
    <row r="1068" spans="3:4">
      <c r="C1068" s="82" t="s">
        <v>962</v>
      </c>
      <c r="D1068" s="81" t="s">
        <v>969</v>
      </c>
    </row>
    <row r="1069" spans="3:4">
      <c r="C1069" s="82" t="s">
        <v>962</v>
      </c>
      <c r="D1069" s="81" t="s">
        <v>968</v>
      </c>
    </row>
    <row r="1070" spans="3:4">
      <c r="C1070" s="82" t="s">
        <v>962</v>
      </c>
      <c r="D1070" s="81" t="s">
        <v>967</v>
      </c>
    </row>
    <row r="1071" spans="3:4">
      <c r="C1071" s="82" t="s">
        <v>962</v>
      </c>
      <c r="D1071" s="81" t="s">
        <v>966</v>
      </c>
    </row>
    <row r="1072" spans="3:4">
      <c r="C1072" s="82" t="s">
        <v>962</v>
      </c>
      <c r="D1072" s="81" t="s">
        <v>965</v>
      </c>
    </row>
    <row r="1073" spans="3:4">
      <c r="C1073" s="82" t="s">
        <v>962</v>
      </c>
      <c r="D1073" s="81" t="s">
        <v>964</v>
      </c>
    </row>
    <row r="1074" spans="3:4">
      <c r="C1074" s="82" t="s">
        <v>962</v>
      </c>
      <c r="D1074" s="81" t="s">
        <v>963</v>
      </c>
    </row>
    <row r="1075" spans="3:4">
      <c r="C1075" s="82" t="s">
        <v>962</v>
      </c>
      <c r="D1075" s="81" t="s">
        <v>961</v>
      </c>
    </row>
    <row r="1076" spans="3:4">
      <c r="C1076" s="82" t="s">
        <v>943</v>
      </c>
      <c r="D1076" s="81" t="s">
        <v>960</v>
      </c>
    </row>
    <row r="1077" spans="3:4">
      <c r="C1077" s="82" t="s">
        <v>943</v>
      </c>
      <c r="D1077" s="81" t="s">
        <v>959</v>
      </c>
    </row>
    <row r="1078" spans="3:4">
      <c r="C1078" s="82" t="s">
        <v>943</v>
      </c>
      <c r="D1078" s="81" t="s">
        <v>958</v>
      </c>
    </row>
    <row r="1079" spans="3:4">
      <c r="C1079" s="82" t="s">
        <v>943</v>
      </c>
      <c r="D1079" s="81" t="s">
        <v>957</v>
      </c>
    </row>
    <row r="1080" spans="3:4">
      <c r="C1080" s="82" t="s">
        <v>943</v>
      </c>
      <c r="D1080" s="81" t="s">
        <v>956</v>
      </c>
    </row>
    <row r="1081" spans="3:4">
      <c r="C1081" s="82" t="s">
        <v>943</v>
      </c>
      <c r="D1081" s="81" t="s">
        <v>955</v>
      </c>
    </row>
    <row r="1082" spans="3:4">
      <c r="C1082" s="82" t="s">
        <v>943</v>
      </c>
      <c r="D1082" s="81" t="s">
        <v>954</v>
      </c>
    </row>
    <row r="1083" spans="3:4">
      <c r="C1083" s="82" t="s">
        <v>943</v>
      </c>
      <c r="D1083" s="81" t="s">
        <v>953</v>
      </c>
    </row>
    <row r="1084" spans="3:4">
      <c r="C1084" s="82" t="s">
        <v>943</v>
      </c>
      <c r="D1084" s="81" t="s">
        <v>952</v>
      </c>
    </row>
    <row r="1085" spans="3:4">
      <c r="C1085" s="82" t="s">
        <v>943</v>
      </c>
      <c r="D1085" s="81" t="s">
        <v>951</v>
      </c>
    </row>
    <row r="1086" spans="3:4">
      <c r="C1086" s="82" t="s">
        <v>943</v>
      </c>
      <c r="D1086" s="81" t="s">
        <v>950</v>
      </c>
    </row>
    <row r="1087" spans="3:4">
      <c r="C1087" s="82" t="s">
        <v>943</v>
      </c>
      <c r="D1087" s="81" t="s">
        <v>949</v>
      </c>
    </row>
    <row r="1088" spans="3:4">
      <c r="C1088" s="82" t="s">
        <v>943</v>
      </c>
      <c r="D1088" s="81" t="s">
        <v>948</v>
      </c>
    </row>
    <row r="1089" spans="3:4">
      <c r="C1089" s="82" t="s">
        <v>943</v>
      </c>
      <c r="D1089" s="81" t="s">
        <v>742</v>
      </c>
    </row>
    <row r="1090" spans="3:4">
      <c r="C1090" s="82" t="s">
        <v>943</v>
      </c>
      <c r="D1090" s="81" t="s">
        <v>947</v>
      </c>
    </row>
    <row r="1091" spans="3:4">
      <c r="C1091" s="82" t="s">
        <v>943</v>
      </c>
      <c r="D1091" s="81" t="s">
        <v>946</v>
      </c>
    </row>
    <row r="1092" spans="3:4">
      <c r="C1092" s="82" t="s">
        <v>943</v>
      </c>
      <c r="D1092" s="81" t="s">
        <v>945</v>
      </c>
    </row>
    <row r="1093" spans="3:4">
      <c r="C1093" s="82" t="s">
        <v>943</v>
      </c>
      <c r="D1093" s="81" t="s">
        <v>944</v>
      </c>
    </row>
    <row r="1094" spans="3:4">
      <c r="C1094" s="82" t="s">
        <v>943</v>
      </c>
      <c r="D1094" s="81" t="s">
        <v>942</v>
      </c>
    </row>
    <row r="1095" spans="3:4">
      <c r="C1095" s="82" t="s">
        <v>916</v>
      </c>
      <c r="D1095" s="81" t="s">
        <v>941</v>
      </c>
    </row>
    <row r="1096" spans="3:4">
      <c r="C1096" s="82" t="s">
        <v>916</v>
      </c>
      <c r="D1096" s="81" t="s">
        <v>940</v>
      </c>
    </row>
    <row r="1097" spans="3:4">
      <c r="C1097" s="82" t="s">
        <v>916</v>
      </c>
      <c r="D1097" s="81" t="s">
        <v>939</v>
      </c>
    </row>
    <row r="1098" spans="3:4">
      <c r="C1098" s="82" t="s">
        <v>916</v>
      </c>
      <c r="D1098" s="81" t="s">
        <v>938</v>
      </c>
    </row>
    <row r="1099" spans="3:4">
      <c r="C1099" s="82" t="s">
        <v>916</v>
      </c>
      <c r="D1099" s="81" t="s">
        <v>937</v>
      </c>
    </row>
    <row r="1100" spans="3:4">
      <c r="C1100" s="82" t="s">
        <v>916</v>
      </c>
      <c r="D1100" s="81" t="s">
        <v>936</v>
      </c>
    </row>
    <row r="1101" spans="3:4">
      <c r="C1101" s="82" t="s">
        <v>916</v>
      </c>
      <c r="D1101" s="81" t="s">
        <v>935</v>
      </c>
    </row>
    <row r="1102" spans="3:4">
      <c r="C1102" s="82" t="s">
        <v>916</v>
      </c>
      <c r="D1102" s="81" t="s">
        <v>934</v>
      </c>
    </row>
    <row r="1103" spans="3:4">
      <c r="C1103" s="82" t="s">
        <v>916</v>
      </c>
      <c r="D1103" s="81" t="s">
        <v>933</v>
      </c>
    </row>
    <row r="1104" spans="3:4">
      <c r="C1104" s="82" t="s">
        <v>916</v>
      </c>
      <c r="D1104" s="81" t="s">
        <v>932</v>
      </c>
    </row>
    <row r="1105" spans="3:4">
      <c r="C1105" s="82" t="s">
        <v>916</v>
      </c>
      <c r="D1105" s="81" t="s">
        <v>931</v>
      </c>
    </row>
    <row r="1106" spans="3:4">
      <c r="C1106" s="82" t="s">
        <v>916</v>
      </c>
      <c r="D1106" s="81" t="s">
        <v>930</v>
      </c>
    </row>
    <row r="1107" spans="3:4">
      <c r="C1107" s="82" t="s">
        <v>916</v>
      </c>
      <c r="D1107" s="81" t="s">
        <v>929</v>
      </c>
    </row>
    <row r="1108" spans="3:4">
      <c r="C1108" s="82" t="s">
        <v>916</v>
      </c>
      <c r="D1108" s="81" t="s">
        <v>928</v>
      </c>
    </row>
    <row r="1109" spans="3:4">
      <c r="C1109" s="82" t="s">
        <v>916</v>
      </c>
      <c r="D1109" s="81" t="s">
        <v>927</v>
      </c>
    </row>
    <row r="1110" spans="3:4">
      <c r="C1110" s="82" t="s">
        <v>916</v>
      </c>
      <c r="D1110" s="81" t="s">
        <v>926</v>
      </c>
    </row>
    <row r="1111" spans="3:4">
      <c r="C1111" s="82" t="s">
        <v>916</v>
      </c>
      <c r="D1111" s="81" t="s">
        <v>925</v>
      </c>
    </row>
    <row r="1112" spans="3:4">
      <c r="C1112" s="82" t="s">
        <v>916</v>
      </c>
      <c r="D1112" s="81" t="s">
        <v>924</v>
      </c>
    </row>
    <row r="1113" spans="3:4">
      <c r="C1113" s="82" t="s">
        <v>916</v>
      </c>
      <c r="D1113" s="81" t="s">
        <v>923</v>
      </c>
    </row>
    <row r="1114" spans="3:4">
      <c r="C1114" s="82" t="s">
        <v>916</v>
      </c>
      <c r="D1114" s="81" t="s">
        <v>922</v>
      </c>
    </row>
    <row r="1115" spans="3:4">
      <c r="C1115" s="82" t="s">
        <v>916</v>
      </c>
      <c r="D1115" s="81" t="s">
        <v>921</v>
      </c>
    </row>
    <row r="1116" spans="3:4">
      <c r="C1116" s="82" t="s">
        <v>916</v>
      </c>
      <c r="D1116" s="81" t="s">
        <v>920</v>
      </c>
    </row>
    <row r="1117" spans="3:4">
      <c r="C1117" s="82" t="s">
        <v>916</v>
      </c>
      <c r="D1117" s="81" t="s">
        <v>919</v>
      </c>
    </row>
    <row r="1118" spans="3:4">
      <c r="C1118" s="82" t="s">
        <v>916</v>
      </c>
      <c r="D1118" s="81" t="s">
        <v>918</v>
      </c>
    </row>
    <row r="1119" spans="3:4">
      <c r="C1119" s="82" t="s">
        <v>916</v>
      </c>
      <c r="D1119" s="81" t="s">
        <v>917</v>
      </c>
    </row>
    <row r="1120" spans="3:4">
      <c r="C1120" s="82" t="s">
        <v>916</v>
      </c>
      <c r="D1120" s="81" t="s">
        <v>915</v>
      </c>
    </row>
    <row r="1121" spans="3:4">
      <c r="C1121" s="82" t="s">
        <v>873</v>
      </c>
      <c r="D1121" s="81" t="s">
        <v>914</v>
      </c>
    </row>
    <row r="1122" spans="3:4">
      <c r="C1122" s="82" t="s">
        <v>873</v>
      </c>
      <c r="D1122" s="81" t="s">
        <v>913</v>
      </c>
    </row>
    <row r="1123" spans="3:4">
      <c r="C1123" s="82" t="s">
        <v>873</v>
      </c>
      <c r="D1123" s="81" t="s">
        <v>912</v>
      </c>
    </row>
    <row r="1124" spans="3:4">
      <c r="C1124" s="82" t="s">
        <v>873</v>
      </c>
      <c r="D1124" s="81" t="s">
        <v>911</v>
      </c>
    </row>
    <row r="1125" spans="3:4">
      <c r="C1125" s="82" t="s">
        <v>873</v>
      </c>
      <c r="D1125" s="81" t="s">
        <v>910</v>
      </c>
    </row>
    <row r="1126" spans="3:4">
      <c r="C1126" s="82" t="s">
        <v>873</v>
      </c>
      <c r="D1126" s="81" t="s">
        <v>909</v>
      </c>
    </row>
    <row r="1127" spans="3:4">
      <c r="C1127" s="82" t="s">
        <v>873</v>
      </c>
      <c r="D1127" s="81" t="s">
        <v>908</v>
      </c>
    </row>
    <row r="1128" spans="3:4">
      <c r="C1128" s="82" t="s">
        <v>873</v>
      </c>
      <c r="D1128" s="81" t="s">
        <v>907</v>
      </c>
    </row>
    <row r="1129" spans="3:4">
      <c r="C1129" s="82" t="s">
        <v>873</v>
      </c>
      <c r="D1129" s="81" t="s">
        <v>906</v>
      </c>
    </row>
    <row r="1130" spans="3:4">
      <c r="C1130" s="82" t="s">
        <v>873</v>
      </c>
      <c r="D1130" s="81" t="s">
        <v>905</v>
      </c>
    </row>
    <row r="1131" spans="3:4">
      <c r="C1131" s="82" t="s">
        <v>873</v>
      </c>
      <c r="D1131" s="81" t="s">
        <v>904</v>
      </c>
    </row>
    <row r="1132" spans="3:4">
      <c r="C1132" s="82" t="s">
        <v>873</v>
      </c>
      <c r="D1132" s="81" t="s">
        <v>903</v>
      </c>
    </row>
    <row r="1133" spans="3:4">
      <c r="C1133" s="82" t="s">
        <v>873</v>
      </c>
      <c r="D1133" s="81" t="s">
        <v>902</v>
      </c>
    </row>
    <row r="1134" spans="3:4">
      <c r="C1134" s="82" t="s">
        <v>873</v>
      </c>
      <c r="D1134" s="81" t="s">
        <v>901</v>
      </c>
    </row>
    <row r="1135" spans="3:4">
      <c r="C1135" s="82" t="s">
        <v>873</v>
      </c>
      <c r="D1135" s="81" t="s">
        <v>900</v>
      </c>
    </row>
    <row r="1136" spans="3:4">
      <c r="C1136" s="82" t="s">
        <v>873</v>
      </c>
      <c r="D1136" s="81" t="s">
        <v>899</v>
      </c>
    </row>
    <row r="1137" spans="3:4">
      <c r="C1137" s="82" t="s">
        <v>873</v>
      </c>
      <c r="D1137" s="81" t="s">
        <v>898</v>
      </c>
    </row>
    <row r="1138" spans="3:4">
      <c r="C1138" s="82" t="s">
        <v>873</v>
      </c>
      <c r="D1138" s="81" t="s">
        <v>897</v>
      </c>
    </row>
    <row r="1139" spans="3:4">
      <c r="C1139" s="82" t="s">
        <v>873</v>
      </c>
      <c r="D1139" s="81" t="s">
        <v>896</v>
      </c>
    </row>
    <row r="1140" spans="3:4">
      <c r="C1140" s="82" t="s">
        <v>873</v>
      </c>
      <c r="D1140" s="81" t="s">
        <v>895</v>
      </c>
    </row>
    <row r="1141" spans="3:4">
      <c r="C1141" s="82" t="s">
        <v>873</v>
      </c>
      <c r="D1141" s="81" t="s">
        <v>894</v>
      </c>
    </row>
    <row r="1142" spans="3:4">
      <c r="C1142" s="82" t="s">
        <v>873</v>
      </c>
      <c r="D1142" s="81" t="s">
        <v>893</v>
      </c>
    </row>
    <row r="1143" spans="3:4">
      <c r="C1143" s="82" t="s">
        <v>873</v>
      </c>
      <c r="D1143" s="81" t="s">
        <v>892</v>
      </c>
    </row>
    <row r="1144" spans="3:4">
      <c r="C1144" s="82" t="s">
        <v>873</v>
      </c>
      <c r="D1144" s="81" t="s">
        <v>891</v>
      </c>
    </row>
    <row r="1145" spans="3:4">
      <c r="C1145" s="82" t="s">
        <v>873</v>
      </c>
      <c r="D1145" s="81" t="s">
        <v>890</v>
      </c>
    </row>
    <row r="1146" spans="3:4">
      <c r="C1146" s="82" t="s">
        <v>873</v>
      </c>
      <c r="D1146" s="81" t="s">
        <v>889</v>
      </c>
    </row>
    <row r="1147" spans="3:4">
      <c r="C1147" s="82" t="s">
        <v>873</v>
      </c>
      <c r="D1147" s="81" t="s">
        <v>888</v>
      </c>
    </row>
    <row r="1148" spans="3:4">
      <c r="C1148" s="82" t="s">
        <v>873</v>
      </c>
      <c r="D1148" s="81" t="s">
        <v>887</v>
      </c>
    </row>
    <row r="1149" spans="3:4">
      <c r="C1149" s="82" t="s">
        <v>873</v>
      </c>
      <c r="D1149" s="81" t="s">
        <v>886</v>
      </c>
    </row>
    <row r="1150" spans="3:4">
      <c r="C1150" s="82" t="s">
        <v>873</v>
      </c>
      <c r="D1150" s="81" t="s">
        <v>885</v>
      </c>
    </row>
    <row r="1151" spans="3:4">
      <c r="C1151" s="82" t="s">
        <v>873</v>
      </c>
      <c r="D1151" s="81" t="s">
        <v>884</v>
      </c>
    </row>
    <row r="1152" spans="3:4">
      <c r="C1152" s="82" t="s">
        <v>873</v>
      </c>
      <c r="D1152" s="81" t="s">
        <v>883</v>
      </c>
    </row>
    <row r="1153" spans="3:4">
      <c r="C1153" s="82" t="s">
        <v>873</v>
      </c>
      <c r="D1153" s="81" t="s">
        <v>882</v>
      </c>
    </row>
    <row r="1154" spans="3:4">
      <c r="C1154" s="82" t="s">
        <v>873</v>
      </c>
      <c r="D1154" s="81" t="s">
        <v>881</v>
      </c>
    </row>
    <row r="1155" spans="3:4">
      <c r="C1155" s="82" t="s">
        <v>873</v>
      </c>
      <c r="D1155" s="81" t="s">
        <v>880</v>
      </c>
    </row>
    <row r="1156" spans="3:4">
      <c r="C1156" s="82" t="s">
        <v>873</v>
      </c>
      <c r="D1156" s="81" t="s">
        <v>879</v>
      </c>
    </row>
    <row r="1157" spans="3:4">
      <c r="C1157" s="82" t="s">
        <v>873</v>
      </c>
      <c r="D1157" s="81" t="s">
        <v>878</v>
      </c>
    </row>
    <row r="1158" spans="3:4">
      <c r="C1158" s="82" t="s">
        <v>873</v>
      </c>
      <c r="D1158" s="81" t="s">
        <v>877</v>
      </c>
    </row>
    <row r="1159" spans="3:4">
      <c r="C1159" s="82" t="s">
        <v>873</v>
      </c>
      <c r="D1159" s="81" t="s">
        <v>876</v>
      </c>
    </row>
    <row r="1160" spans="3:4">
      <c r="C1160" s="82" t="s">
        <v>873</v>
      </c>
      <c r="D1160" s="81" t="s">
        <v>875</v>
      </c>
    </row>
    <row r="1161" spans="3:4">
      <c r="C1161" s="82" t="s">
        <v>873</v>
      </c>
      <c r="D1161" s="81" t="s">
        <v>835</v>
      </c>
    </row>
    <row r="1162" spans="3:4">
      <c r="C1162" s="82" t="s">
        <v>873</v>
      </c>
      <c r="D1162" s="81" t="s">
        <v>874</v>
      </c>
    </row>
    <row r="1163" spans="3:4">
      <c r="C1163" s="82" t="s">
        <v>873</v>
      </c>
      <c r="D1163" s="81" t="s">
        <v>872</v>
      </c>
    </row>
    <row r="1164" spans="3:4">
      <c r="C1164" s="82" t="s">
        <v>831</v>
      </c>
      <c r="D1164" s="81" t="s">
        <v>871</v>
      </c>
    </row>
    <row r="1165" spans="3:4">
      <c r="C1165" s="82" t="s">
        <v>831</v>
      </c>
      <c r="D1165" s="81" t="s">
        <v>870</v>
      </c>
    </row>
    <row r="1166" spans="3:4">
      <c r="C1166" s="82" t="s">
        <v>831</v>
      </c>
      <c r="D1166" s="81" t="s">
        <v>869</v>
      </c>
    </row>
    <row r="1167" spans="3:4">
      <c r="C1167" s="82" t="s">
        <v>831</v>
      </c>
      <c r="D1167" s="81" t="s">
        <v>868</v>
      </c>
    </row>
    <row r="1168" spans="3:4">
      <c r="C1168" s="82" t="s">
        <v>831</v>
      </c>
      <c r="D1168" s="81" t="s">
        <v>867</v>
      </c>
    </row>
    <row r="1169" spans="3:4">
      <c r="C1169" s="82" t="s">
        <v>831</v>
      </c>
      <c r="D1169" s="81" t="s">
        <v>866</v>
      </c>
    </row>
    <row r="1170" spans="3:4">
      <c r="C1170" s="82" t="s">
        <v>831</v>
      </c>
      <c r="D1170" s="81" t="s">
        <v>865</v>
      </c>
    </row>
    <row r="1171" spans="3:4">
      <c r="C1171" s="82" t="s">
        <v>831</v>
      </c>
      <c r="D1171" s="81" t="s">
        <v>864</v>
      </c>
    </row>
    <row r="1172" spans="3:4">
      <c r="C1172" s="82" t="s">
        <v>831</v>
      </c>
      <c r="D1172" s="81" t="s">
        <v>863</v>
      </c>
    </row>
    <row r="1173" spans="3:4">
      <c r="C1173" s="82" t="s">
        <v>831</v>
      </c>
      <c r="D1173" s="81" t="s">
        <v>862</v>
      </c>
    </row>
    <row r="1174" spans="3:4">
      <c r="C1174" s="82" t="s">
        <v>831</v>
      </c>
      <c r="D1174" s="81" t="s">
        <v>861</v>
      </c>
    </row>
    <row r="1175" spans="3:4">
      <c r="C1175" s="82" t="s">
        <v>831</v>
      </c>
      <c r="D1175" s="81" t="s">
        <v>860</v>
      </c>
    </row>
    <row r="1176" spans="3:4">
      <c r="C1176" s="82" t="s">
        <v>831</v>
      </c>
      <c r="D1176" s="81" t="s">
        <v>859</v>
      </c>
    </row>
    <row r="1177" spans="3:4">
      <c r="C1177" s="82" t="s">
        <v>831</v>
      </c>
      <c r="D1177" s="81" t="s">
        <v>858</v>
      </c>
    </row>
    <row r="1178" spans="3:4">
      <c r="C1178" s="82" t="s">
        <v>831</v>
      </c>
      <c r="D1178" s="81" t="s">
        <v>857</v>
      </c>
    </row>
    <row r="1179" spans="3:4">
      <c r="C1179" s="82" t="s">
        <v>831</v>
      </c>
      <c r="D1179" s="81" t="s">
        <v>856</v>
      </c>
    </row>
    <row r="1180" spans="3:4">
      <c r="C1180" s="82" t="s">
        <v>831</v>
      </c>
      <c r="D1180" s="81" t="s">
        <v>855</v>
      </c>
    </row>
    <row r="1181" spans="3:4">
      <c r="C1181" s="82" t="s">
        <v>831</v>
      </c>
      <c r="D1181" s="81" t="s">
        <v>854</v>
      </c>
    </row>
    <row r="1182" spans="3:4">
      <c r="C1182" s="82" t="s">
        <v>831</v>
      </c>
      <c r="D1182" s="81" t="s">
        <v>853</v>
      </c>
    </row>
    <row r="1183" spans="3:4">
      <c r="C1183" s="82" t="s">
        <v>831</v>
      </c>
      <c r="D1183" s="81" t="s">
        <v>852</v>
      </c>
    </row>
    <row r="1184" spans="3:4">
      <c r="C1184" s="82" t="s">
        <v>831</v>
      </c>
      <c r="D1184" s="81" t="s">
        <v>851</v>
      </c>
    </row>
    <row r="1185" spans="3:4">
      <c r="C1185" s="82" t="s">
        <v>831</v>
      </c>
      <c r="D1185" s="81" t="s">
        <v>850</v>
      </c>
    </row>
    <row r="1186" spans="3:4">
      <c r="C1186" s="82" t="s">
        <v>831</v>
      </c>
      <c r="D1186" s="81" t="s">
        <v>849</v>
      </c>
    </row>
    <row r="1187" spans="3:4">
      <c r="C1187" s="82" t="s">
        <v>831</v>
      </c>
      <c r="D1187" s="81" t="s">
        <v>848</v>
      </c>
    </row>
    <row r="1188" spans="3:4">
      <c r="C1188" s="82" t="s">
        <v>831</v>
      </c>
      <c r="D1188" s="81" t="s">
        <v>847</v>
      </c>
    </row>
    <row r="1189" spans="3:4">
      <c r="C1189" s="82" t="s">
        <v>831</v>
      </c>
      <c r="D1189" s="81" t="s">
        <v>846</v>
      </c>
    </row>
    <row r="1190" spans="3:4">
      <c r="C1190" s="82" t="s">
        <v>831</v>
      </c>
      <c r="D1190" s="81" t="s">
        <v>845</v>
      </c>
    </row>
    <row r="1191" spans="3:4">
      <c r="C1191" s="82" t="s">
        <v>831</v>
      </c>
      <c r="D1191" s="81" t="s">
        <v>844</v>
      </c>
    </row>
    <row r="1192" spans="3:4">
      <c r="C1192" s="82" t="s">
        <v>831</v>
      </c>
      <c r="D1192" s="81" t="s">
        <v>843</v>
      </c>
    </row>
    <row r="1193" spans="3:4">
      <c r="C1193" s="82" t="s">
        <v>831</v>
      </c>
      <c r="D1193" s="81" t="s">
        <v>842</v>
      </c>
    </row>
    <row r="1194" spans="3:4">
      <c r="C1194" s="82" t="s">
        <v>831</v>
      </c>
      <c r="D1194" s="81" t="s">
        <v>841</v>
      </c>
    </row>
    <row r="1195" spans="3:4">
      <c r="C1195" s="82" t="s">
        <v>831</v>
      </c>
      <c r="D1195" s="81" t="s">
        <v>840</v>
      </c>
    </row>
    <row r="1196" spans="3:4">
      <c r="C1196" s="82" t="s">
        <v>831</v>
      </c>
      <c r="D1196" s="81" t="s">
        <v>839</v>
      </c>
    </row>
    <row r="1197" spans="3:4">
      <c r="C1197" s="82" t="s">
        <v>831</v>
      </c>
      <c r="D1197" s="81" t="s">
        <v>838</v>
      </c>
    </row>
    <row r="1198" spans="3:4">
      <c r="C1198" s="82" t="s">
        <v>831</v>
      </c>
      <c r="D1198" s="81" t="s">
        <v>837</v>
      </c>
    </row>
    <row r="1199" spans="3:4">
      <c r="C1199" s="82" t="s">
        <v>831</v>
      </c>
      <c r="D1199" s="81" t="s">
        <v>836</v>
      </c>
    </row>
    <row r="1200" spans="3:4">
      <c r="C1200" s="82" t="s">
        <v>831</v>
      </c>
      <c r="D1200" s="81" t="s">
        <v>835</v>
      </c>
    </row>
    <row r="1201" spans="3:4">
      <c r="C1201" s="82" t="s">
        <v>831</v>
      </c>
      <c r="D1201" s="81" t="s">
        <v>834</v>
      </c>
    </row>
    <row r="1202" spans="3:4">
      <c r="C1202" s="82" t="s">
        <v>831</v>
      </c>
      <c r="D1202" s="81" t="s">
        <v>833</v>
      </c>
    </row>
    <row r="1203" spans="3:4">
      <c r="C1203" s="82" t="s">
        <v>831</v>
      </c>
      <c r="D1203" s="81" t="s">
        <v>832</v>
      </c>
    </row>
    <row r="1204" spans="3:4">
      <c r="C1204" s="82" t="s">
        <v>831</v>
      </c>
      <c r="D1204" s="81" t="s">
        <v>830</v>
      </c>
    </row>
    <row r="1205" spans="3:4">
      <c r="C1205" s="82" t="s">
        <v>791</v>
      </c>
      <c r="D1205" s="81" t="s">
        <v>829</v>
      </c>
    </row>
    <row r="1206" spans="3:4">
      <c r="C1206" s="82" t="s">
        <v>791</v>
      </c>
      <c r="D1206" s="81" t="s">
        <v>828</v>
      </c>
    </row>
    <row r="1207" spans="3:4">
      <c r="C1207" s="82" t="s">
        <v>791</v>
      </c>
      <c r="D1207" s="81" t="s">
        <v>827</v>
      </c>
    </row>
    <row r="1208" spans="3:4">
      <c r="C1208" s="82" t="s">
        <v>791</v>
      </c>
      <c r="D1208" s="81" t="s">
        <v>826</v>
      </c>
    </row>
    <row r="1209" spans="3:4">
      <c r="C1209" s="82" t="s">
        <v>791</v>
      </c>
      <c r="D1209" s="81" t="s">
        <v>825</v>
      </c>
    </row>
    <row r="1210" spans="3:4">
      <c r="C1210" s="82" t="s">
        <v>791</v>
      </c>
      <c r="D1210" s="81" t="s">
        <v>824</v>
      </c>
    </row>
    <row r="1211" spans="3:4">
      <c r="C1211" s="82" t="s">
        <v>791</v>
      </c>
      <c r="D1211" s="81" t="s">
        <v>823</v>
      </c>
    </row>
    <row r="1212" spans="3:4">
      <c r="C1212" s="82" t="s">
        <v>791</v>
      </c>
      <c r="D1212" s="81" t="s">
        <v>822</v>
      </c>
    </row>
    <row r="1213" spans="3:4">
      <c r="C1213" s="82" t="s">
        <v>791</v>
      </c>
      <c r="D1213" s="81" t="s">
        <v>821</v>
      </c>
    </row>
    <row r="1214" spans="3:4">
      <c r="C1214" s="82" t="s">
        <v>791</v>
      </c>
      <c r="D1214" s="81" t="s">
        <v>820</v>
      </c>
    </row>
    <row r="1215" spans="3:4">
      <c r="C1215" s="82" t="s">
        <v>791</v>
      </c>
      <c r="D1215" s="81" t="s">
        <v>819</v>
      </c>
    </row>
    <row r="1216" spans="3:4">
      <c r="C1216" s="82" t="s">
        <v>791</v>
      </c>
      <c r="D1216" s="81" t="s">
        <v>818</v>
      </c>
    </row>
    <row r="1217" spans="3:4">
      <c r="C1217" s="82" t="s">
        <v>791</v>
      </c>
      <c r="D1217" s="81" t="s">
        <v>817</v>
      </c>
    </row>
    <row r="1218" spans="3:4">
      <c r="C1218" s="82" t="s">
        <v>791</v>
      </c>
      <c r="D1218" s="81" t="s">
        <v>816</v>
      </c>
    </row>
    <row r="1219" spans="3:4">
      <c r="C1219" s="82" t="s">
        <v>791</v>
      </c>
      <c r="D1219" s="81" t="s">
        <v>815</v>
      </c>
    </row>
    <row r="1220" spans="3:4">
      <c r="C1220" s="82" t="s">
        <v>791</v>
      </c>
      <c r="D1220" s="81" t="s">
        <v>814</v>
      </c>
    </row>
    <row r="1221" spans="3:4">
      <c r="C1221" s="82" t="s">
        <v>791</v>
      </c>
      <c r="D1221" s="81" t="s">
        <v>813</v>
      </c>
    </row>
    <row r="1222" spans="3:4">
      <c r="C1222" s="82" t="s">
        <v>791</v>
      </c>
      <c r="D1222" s="81" t="s">
        <v>812</v>
      </c>
    </row>
    <row r="1223" spans="3:4">
      <c r="C1223" s="82" t="s">
        <v>791</v>
      </c>
      <c r="D1223" s="81" t="s">
        <v>811</v>
      </c>
    </row>
    <row r="1224" spans="3:4">
      <c r="C1224" s="82" t="s">
        <v>791</v>
      </c>
      <c r="D1224" s="81" t="s">
        <v>810</v>
      </c>
    </row>
    <row r="1225" spans="3:4">
      <c r="C1225" s="82" t="s">
        <v>791</v>
      </c>
      <c r="D1225" s="81" t="s">
        <v>809</v>
      </c>
    </row>
    <row r="1226" spans="3:4">
      <c r="C1226" s="82" t="s">
        <v>791</v>
      </c>
      <c r="D1226" s="81" t="s">
        <v>808</v>
      </c>
    </row>
    <row r="1227" spans="3:4">
      <c r="C1227" s="82" t="s">
        <v>791</v>
      </c>
      <c r="D1227" s="81" t="s">
        <v>807</v>
      </c>
    </row>
    <row r="1228" spans="3:4">
      <c r="C1228" s="82" t="s">
        <v>791</v>
      </c>
      <c r="D1228" s="81" t="s">
        <v>806</v>
      </c>
    </row>
    <row r="1229" spans="3:4">
      <c r="C1229" s="82" t="s">
        <v>791</v>
      </c>
      <c r="D1229" s="81" t="s">
        <v>805</v>
      </c>
    </row>
    <row r="1230" spans="3:4">
      <c r="C1230" s="82" t="s">
        <v>791</v>
      </c>
      <c r="D1230" s="81" t="s">
        <v>804</v>
      </c>
    </row>
    <row r="1231" spans="3:4">
      <c r="C1231" s="82" t="s">
        <v>791</v>
      </c>
      <c r="D1231" s="81" t="s">
        <v>803</v>
      </c>
    </row>
    <row r="1232" spans="3:4">
      <c r="C1232" s="82" t="s">
        <v>791</v>
      </c>
      <c r="D1232" s="81" t="s">
        <v>802</v>
      </c>
    </row>
    <row r="1233" spans="3:4">
      <c r="C1233" s="82" t="s">
        <v>791</v>
      </c>
      <c r="D1233" s="81" t="s">
        <v>801</v>
      </c>
    </row>
    <row r="1234" spans="3:4">
      <c r="C1234" s="82" t="s">
        <v>791</v>
      </c>
      <c r="D1234" s="81" t="s">
        <v>800</v>
      </c>
    </row>
    <row r="1235" spans="3:4">
      <c r="C1235" s="82" t="s">
        <v>791</v>
      </c>
      <c r="D1235" s="81" t="s">
        <v>799</v>
      </c>
    </row>
    <row r="1236" spans="3:4">
      <c r="C1236" s="82" t="s">
        <v>791</v>
      </c>
      <c r="D1236" s="81" t="s">
        <v>798</v>
      </c>
    </row>
    <row r="1237" spans="3:4">
      <c r="C1237" s="82" t="s">
        <v>791</v>
      </c>
      <c r="D1237" s="81" t="s">
        <v>797</v>
      </c>
    </row>
    <row r="1238" spans="3:4">
      <c r="C1238" s="82" t="s">
        <v>791</v>
      </c>
      <c r="D1238" s="81" t="s">
        <v>796</v>
      </c>
    </row>
    <row r="1239" spans="3:4">
      <c r="C1239" s="82" t="s">
        <v>791</v>
      </c>
      <c r="D1239" s="81" t="s">
        <v>795</v>
      </c>
    </row>
    <row r="1240" spans="3:4">
      <c r="C1240" s="82" t="s">
        <v>791</v>
      </c>
      <c r="D1240" s="81" t="s">
        <v>794</v>
      </c>
    </row>
    <row r="1241" spans="3:4">
      <c r="C1241" s="82" t="s">
        <v>791</v>
      </c>
      <c r="D1241" s="81" t="s">
        <v>793</v>
      </c>
    </row>
    <row r="1242" spans="3:4">
      <c r="C1242" s="82" t="s">
        <v>791</v>
      </c>
      <c r="D1242" s="81" t="s">
        <v>792</v>
      </c>
    </row>
    <row r="1243" spans="3:4">
      <c r="C1243" s="82" t="s">
        <v>791</v>
      </c>
      <c r="D1243" s="81" t="s">
        <v>790</v>
      </c>
    </row>
    <row r="1244" spans="3:4">
      <c r="C1244" s="82" t="s">
        <v>761</v>
      </c>
      <c r="D1244" s="81" t="s">
        <v>789</v>
      </c>
    </row>
    <row r="1245" spans="3:4">
      <c r="C1245" s="82" t="s">
        <v>761</v>
      </c>
      <c r="D1245" s="81" t="s">
        <v>788</v>
      </c>
    </row>
    <row r="1246" spans="3:4">
      <c r="C1246" s="82" t="s">
        <v>761</v>
      </c>
      <c r="D1246" s="81" t="s">
        <v>787</v>
      </c>
    </row>
    <row r="1247" spans="3:4">
      <c r="C1247" s="82" t="s">
        <v>761</v>
      </c>
      <c r="D1247" s="81" t="s">
        <v>786</v>
      </c>
    </row>
    <row r="1248" spans="3:4">
      <c r="C1248" s="82" t="s">
        <v>761</v>
      </c>
      <c r="D1248" s="81" t="s">
        <v>785</v>
      </c>
    </row>
    <row r="1249" spans="3:4">
      <c r="C1249" s="82" t="s">
        <v>761</v>
      </c>
      <c r="D1249" s="81" t="s">
        <v>784</v>
      </c>
    </row>
    <row r="1250" spans="3:4">
      <c r="C1250" s="82" t="s">
        <v>761</v>
      </c>
      <c r="D1250" s="81" t="s">
        <v>783</v>
      </c>
    </row>
    <row r="1251" spans="3:4">
      <c r="C1251" s="82" t="s">
        <v>761</v>
      </c>
      <c r="D1251" s="81" t="s">
        <v>782</v>
      </c>
    </row>
    <row r="1252" spans="3:4">
      <c r="C1252" s="82" t="s">
        <v>761</v>
      </c>
      <c r="D1252" s="81" t="s">
        <v>781</v>
      </c>
    </row>
    <row r="1253" spans="3:4">
      <c r="C1253" s="82" t="s">
        <v>761</v>
      </c>
      <c r="D1253" s="81" t="s">
        <v>780</v>
      </c>
    </row>
    <row r="1254" spans="3:4">
      <c r="C1254" s="82" t="s">
        <v>761</v>
      </c>
      <c r="D1254" s="81" t="s">
        <v>779</v>
      </c>
    </row>
    <row r="1255" spans="3:4">
      <c r="C1255" s="82" t="s">
        <v>761</v>
      </c>
      <c r="D1255" s="81" t="s">
        <v>778</v>
      </c>
    </row>
    <row r="1256" spans="3:4">
      <c r="C1256" s="82" t="s">
        <v>761</v>
      </c>
      <c r="D1256" s="81" t="s">
        <v>777</v>
      </c>
    </row>
    <row r="1257" spans="3:4">
      <c r="C1257" s="82" t="s">
        <v>761</v>
      </c>
      <c r="D1257" s="81" t="s">
        <v>776</v>
      </c>
    </row>
    <row r="1258" spans="3:4">
      <c r="C1258" s="82" t="s">
        <v>761</v>
      </c>
      <c r="D1258" s="81" t="s">
        <v>501</v>
      </c>
    </row>
    <row r="1259" spans="3:4">
      <c r="C1259" s="82" t="s">
        <v>761</v>
      </c>
      <c r="D1259" s="81" t="s">
        <v>775</v>
      </c>
    </row>
    <row r="1260" spans="3:4">
      <c r="C1260" s="82" t="s">
        <v>761</v>
      </c>
      <c r="D1260" s="81" t="s">
        <v>774</v>
      </c>
    </row>
    <row r="1261" spans="3:4">
      <c r="C1261" s="82" t="s">
        <v>761</v>
      </c>
      <c r="D1261" s="81" t="s">
        <v>773</v>
      </c>
    </row>
    <row r="1262" spans="3:4">
      <c r="C1262" s="82" t="s">
        <v>761</v>
      </c>
      <c r="D1262" s="81" t="s">
        <v>772</v>
      </c>
    </row>
    <row r="1263" spans="3:4">
      <c r="C1263" s="82" t="s">
        <v>761</v>
      </c>
      <c r="D1263" s="81" t="s">
        <v>771</v>
      </c>
    </row>
    <row r="1264" spans="3:4">
      <c r="C1264" s="82" t="s">
        <v>761</v>
      </c>
      <c r="D1264" s="81" t="s">
        <v>770</v>
      </c>
    </row>
    <row r="1265" spans="3:4">
      <c r="C1265" s="82" t="s">
        <v>761</v>
      </c>
      <c r="D1265" s="81" t="s">
        <v>769</v>
      </c>
    </row>
    <row r="1266" spans="3:4">
      <c r="C1266" s="82" t="s">
        <v>761</v>
      </c>
      <c r="D1266" s="81" t="s">
        <v>768</v>
      </c>
    </row>
    <row r="1267" spans="3:4">
      <c r="C1267" s="82" t="s">
        <v>761</v>
      </c>
      <c r="D1267" s="81" t="s">
        <v>767</v>
      </c>
    </row>
    <row r="1268" spans="3:4">
      <c r="C1268" s="82" t="s">
        <v>761</v>
      </c>
      <c r="D1268" s="81" t="s">
        <v>766</v>
      </c>
    </row>
    <row r="1269" spans="3:4">
      <c r="C1269" s="82" t="s">
        <v>761</v>
      </c>
      <c r="D1269" s="81" t="s">
        <v>765</v>
      </c>
    </row>
    <row r="1270" spans="3:4">
      <c r="C1270" s="82" t="s">
        <v>761</v>
      </c>
      <c r="D1270" s="81" t="s">
        <v>764</v>
      </c>
    </row>
    <row r="1271" spans="3:4">
      <c r="C1271" s="82" t="s">
        <v>761</v>
      </c>
      <c r="D1271" s="81" t="s">
        <v>763</v>
      </c>
    </row>
    <row r="1272" spans="3:4">
      <c r="C1272" s="82" t="s">
        <v>761</v>
      </c>
      <c r="D1272" s="81" t="s">
        <v>762</v>
      </c>
    </row>
    <row r="1273" spans="3:4">
      <c r="C1273" s="82" t="s">
        <v>761</v>
      </c>
      <c r="D1273" s="81" t="s">
        <v>760</v>
      </c>
    </row>
    <row r="1274" spans="3:4">
      <c r="C1274" s="82" t="s">
        <v>741</v>
      </c>
      <c r="D1274" s="81" t="s">
        <v>759</v>
      </c>
    </row>
    <row r="1275" spans="3:4">
      <c r="C1275" s="82" t="s">
        <v>741</v>
      </c>
      <c r="D1275" s="81" t="s">
        <v>758</v>
      </c>
    </row>
    <row r="1276" spans="3:4">
      <c r="C1276" s="82" t="s">
        <v>741</v>
      </c>
      <c r="D1276" s="81" t="s">
        <v>757</v>
      </c>
    </row>
    <row r="1277" spans="3:4">
      <c r="C1277" s="82" t="s">
        <v>741</v>
      </c>
      <c r="D1277" s="81" t="s">
        <v>756</v>
      </c>
    </row>
    <row r="1278" spans="3:4">
      <c r="C1278" s="82" t="s">
        <v>741</v>
      </c>
      <c r="D1278" s="81" t="s">
        <v>755</v>
      </c>
    </row>
    <row r="1279" spans="3:4">
      <c r="C1279" s="82" t="s">
        <v>741</v>
      </c>
      <c r="D1279" s="81" t="s">
        <v>754</v>
      </c>
    </row>
    <row r="1280" spans="3:4">
      <c r="C1280" s="82" t="s">
        <v>741</v>
      </c>
      <c r="D1280" s="81" t="s">
        <v>753</v>
      </c>
    </row>
    <row r="1281" spans="3:4">
      <c r="C1281" s="82" t="s">
        <v>741</v>
      </c>
      <c r="D1281" s="81" t="s">
        <v>752</v>
      </c>
    </row>
    <row r="1282" spans="3:4">
      <c r="C1282" s="82" t="s">
        <v>741</v>
      </c>
      <c r="D1282" s="81" t="s">
        <v>751</v>
      </c>
    </row>
    <row r="1283" spans="3:4">
      <c r="C1283" s="82" t="s">
        <v>741</v>
      </c>
      <c r="D1283" s="81" t="s">
        <v>750</v>
      </c>
    </row>
    <row r="1284" spans="3:4">
      <c r="C1284" s="82" t="s">
        <v>741</v>
      </c>
      <c r="D1284" s="81" t="s">
        <v>749</v>
      </c>
    </row>
    <row r="1285" spans="3:4">
      <c r="C1285" s="82" t="s">
        <v>741</v>
      </c>
      <c r="D1285" s="81" t="s">
        <v>748</v>
      </c>
    </row>
    <row r="1286" spans="3:4">
      <c r="C1286" s="82" t="s">
        <v>741</v>
      </c>
      <c r="D1286" s="81" t="s">
        <v>747</v>
      </c>
    </row>
    <row r="1287" spans="3:4">
      <c r="C1287" s="82" t="s">
        <v>741</v>
      </c>
      <c r="D1287" s="81" t="s">
        <v>746</v>
      </c>
    </row>
    <row r="1288" spans="3:4">
      <c r="C1288" s="82" t="s">
        <v>741</v>
      </c>
      <c r="D1288" s="81" t="s">
        <v>745</v>
      </c>
    </row>
    <row r="1289" spans="3:4">
      <c r="C1289" s="82" t="s">
        <v>741</v>
      </c>
      <c r="D1289" s="81" t="s">
        <v>744</v>
      </c>
    </row>
    <row r="1290" spans="3:4">
      <c r="C1290" s="82" t="s">
        <v>741</v>
      </c>
      <c r="D1290" s="81" t="s">
        <v>743</v>
      </c>
    </row>
    <row r="1291" spans="3:4">
      <c r="C1291" s="82" t="s">
        <v>741</v>
      </c>
      <c r="D1291" s="81" t="s">
        <v>742</v>
      </c>
    </row>
    <row r="1292" spans="3:4">
      <c r="C1292" s="82" t="s">
        <v>741</v>
      </c>
      <c r="D1292" s="81" t="s">
        <v>740</v>
      </c>
    </row>
    <row r="1293" spans="3:4">
      <c r="C1293" s="82" t="s">
        <v>722</v>
      </c>
      <c r="D1293" s="81" t="s">
        <v>739</v>
      </c>
    </row>
    <row r="1294" spans="3:4">
      <c r="C1294" s="82" t="s">
        <v>722</v>
      </c>
      <c r="D1294" s="81" t="s">
        <v>738</v>
      </c>
    </row>
    <row r="1295" spans="3:4">
      <c r="C1295" s="82" t="s">
        <v>722</v>
      </c>
      <c r="D1295" s="81" t="s">
        <v>737</v>
      </c>
    </row>
    <row r="1296" spans="3:4">
      <c r="C1296" s="82" t="s">
        <v>722</v>
      </c>
      <c r="D1296" s="81" t="s">
        <v>736</v>
      </c>
    </row>
    <row r="1297" spans="3:4">
      <c r="C1297" s="82" t="s">
        <v>722</v>
      </c>
      <c r="D1297" s="81" t="s">
        <v>735</v>
      </c>
    </row>
    <row r="1298" spans="3:4">
      <c r="C1298" s="82" t="s">
        <v>722</v>
      </c>
      <c r="D1298" s="81" t="s">
        <v>734</v>
      </c>
    </row>
    <row r="1299" spans="3:4">
      <c r="C1299" s="82" t="s">
        <v>722</v>
      </c>
      <c r="D1299" s="81" t="s">
        <v>733</v>
      </c>
    </row>
    <row r="1300" spans="3:4">
      <c r="C1300" s="82" t="s">
        <v>722</v>
      </c>
      <c r="D1300" s="81" t="s">
        <v>732</v>
      </c>
    </row>
    <row r="1301" spans="3:4">
      <c r="C1301" s="82" t="s">
        <v>722</v>
      </c>
      <c r="D1301" s="81" t="s">
        <v>731</v>
      </c>
    </row>
    <row r="1302" spans="3:4">
      <c r="C1302" s="82" t="s">
        <v>722</v>
      </c>
      <c r="D1302" s="81" t="s">
        <v>730</v>
      </c>
    </row>
    <row r="1303" spans="3:4">
      <c r="C1303" s="82" t="s">
        <v>722</v>
      </c>
      <c r="D1303" s="81" t="s">
        <v>729</v>
      </c>
    </row>
    <row r="1304" spans="3:4">
      <c r="C1304" s="82" t="s">
        <v>722</v>
      </c>
      <c r="D1304" s="81" t="s">
        <v>357</v>
      </c>
    </row>
    <row r="1305" spans="3:4">
      <c r="C1305" s="82" t="s">
        <v>722</v>
      </c>
      <c r="D1305" s="81" t="s">
        <v>728</v>
      </c>
    </row>
    <row r="1306" spans="3:4">
      <c r="C1306" s="82" t="s">
        <v>722</v>
      </c>
      <c r="D1306" s="81" t="s">
        <v>727</v>
      </c>
    </row>
    <row r="1307" spans="3:4">
      <c r="C1307" s="82" t="s">
        <v>722</v>
      </c>
      <c r="D1307" s="81" t="s">
        <v>726</v>
      </c>
    </row>
    <row r="1308" spans="3:4">
      <c r="C1308" s="82" t="s">
        <v>722</v>
      </c>
      <c r="D1308" s="81" t="s">
        <v>725</v>
      </c>
    </row>
    <row r="1309" spans="3:4">
      <c r="C1309" s="82" t="s">
        <v>722</v>
      </c>
      <c r="D1309" s="81" t="s">
        <v>724</v>
      </c>
    </row>
    <row r="1310" spans="3:4">
      <c r="C1310" s="82" t="s">
        <v>722</v>
      </c>
      <c r="D1310" s="81" t="s">
        <v>723</v>
      </c>
    </row>
    <row r="1311" spans="3:4">
      <c r="C1311" s="82" t="s">
        <v>722</v>
      </c>
      <c r="D1311" s="81" t="s">
        <v>721</v>
      </c>
    </row>
    <row r="1312" spans="3:4">
      <c r="C1312" s="82" t="s">
        <v>694</v>
      </c>
      <c r="D1312" s="81" t="s">
        <v>720</v>
      </c>
    </row>
    <row r="1313" spans="3:4">
      <c r="C1313" s="82" t="s">
        <v>694</v>
      </c>
      <c r="D1313" s="81" t="s">
        <v>719</v>
      </c>
    </row>
    <row r="1314" spans="3:4">
      <c r="C1314" s="82" t="s">
        <v>694</v>
      </c>
      <c r="D1314" s="81" t="s">
        <v>718</v>
      </c>
    </row>
    <row r="1315" spans="3:4">
      <c r="C1315" s="82" t="s">
        <v>694</v>
      </c>
      <c r="D1315" s="81" t="s">
        <v>717</v>
      </c>
    </row>
    <row r="1316" spans="3:4">
      <c r="C1316" s="82" t="s">
        <v>694</v>
      </c>
      <c r="D1316" s="81" t="s">
        <v>716</v>
      </c>
    </row>
    <row r="1317" spans="3:4">
      <c r="C1317" s="82" t="s">
        <v>694</v>
      </c>
      <c r="D1317" s="81" t="s">
        <v>715</v>
      </c>
    </row>
    <row r="1318" spans="3:4">
      <c r="C1318" s="82" t="s">
        <v>694</v>
      </c>
      <c r="D1318" s="81" t="s">
        <v>714</v>
      </c>
    </row>
    <row r="1319" spans="3:4">
      <c r="C1319" s="82" t="s">
        <v>694</v>
      </c>
      <c r="D1319" s="81" t="s">
        <v>713</v>
      </c>
    </row>
    <row r="1320" spans="3:4">
      <c r="C1320" s="82" t="s">
        <v>694</v>
      </c>
      <c r="D1320" s="81" t="s">
        <v>712</v>
      </c>
    </row>
    <row r="1321" spans="3:4">
      <c r="C1321" s="82" t="s">
        <v>694</v>
      </c>
      <c r="D1321" s="81" t="s">
        <v>711</v>
      </c>
    </row>
    <row r="1322" spans="3:4">
      <c r="C1322" s="82" t="s">
        <v>694</v>
      </c>
      <c r="D1322" s="81" t="s">
        <v>710</v>
      </c>
    </row>
    <row r="1323" spans="3:4">
      <c r="C1323" s="82" t="s">
        <v>694</v>
      </c>
      <c r="D1323" s="81" t="s">
        <v>709</v>
      </c>
    </row>
    <row r="1324" spans="3:4">
      <c r="C1324" s="82" t="s">
        <v>694</v>
      </c>
      <c r="D1324" s="81" t="s">
        <v>708</v>
      </c>
    </row>
    <row r="1325" spans="3:4">
      <c r="C1325" s="82" t="s">
        <v>694</v>
      </c>
      <c r="D1325" s="81" t="s">
        <v>707</v>
      </c>
    </row>
    <row r="1326" spans="3:4">
      <c r="C1326" s="82" t="s">
        <v>694</v>
      </c>
      <c r="D1326" s="81" t="s">
        <v>706</v>
      </c>
    </row>
    <row r="1327" spans="3:4">
      <c r="C1327" s="82" t="s">
        <v>694</v>
      </c>
      <c r="D1327" s="81" t="s">
        <v>705</v>
      </c>
    </row>
    <row r="1328" spans="3:4">
      <c r="C1328" s="82" t="s">
        <v>694</v>
      </c>
      <c r="D1328" s="81" t="s">
        <v>704</v>
      </c>
    </row>
    <row r="1329" spans="3:4">
      <c r="C1329" s="82" t="s">
        <v>694</v>
      </c>
      <c r="D1329" s="81" t="s">
        <v>703</v>
      </c>
    </row>
    <row r="1330" spans="3:4">
      <c r="C1330" s="82" t="s">
        <v>694</v>
      </c>
      <c r="D1330" s="81" t="s">
        <v>702</v>
      </c>
    </row>
    <row r="1331" spans="3:4">
      <c r="C1331" s="82" t="s">
        <v>694</v>
      </c>
      <c r="D1331" s="81" t="s">
        <v>701</v>
      </c>
    </row>
    <row r="1332" spans="3:4">
      <c r="C1332" s="82" t="s">
        <v>694</v>
      </c>
      <c r="D1332" s="81" t="s">
        <v>700</v>
      </c>
    </row>
    <row r="1333" spans="3:4">
      <c r="C1333" s="82" t="s">
        <v>694</v>
      </c>
      <c r="D1333" s="81" t="s">
        <v>699</v>
      </c>
    </row>
    <row r="1334" spans="3:4">
      <c r="C1334" s="82" t="s">
        <v>694</v>
      </c>
      <c r="D1334" s="81" t="s">
        <v>698</v>
      </c>
    </row>
    <row r="1335" spans="3:4">
      <c r="C1335" s="82" t="s">
        <v>694</v>
      </c>
      <c r="D1335" s="81" t="s">
        <v>697</v>
      </c>
    </row>
    <row r="1336" spans="3:4">
      <c r="C1336" s="82" t="s">
        <v>694</v>
      </c>
      <c r="D1336" s="81" t="s">
        <v>696</v>
      </c>
    </row>
    <row r="1337" spans="3:4">
      <c r="C1337" s="82" t="s">
        <v>694</v>
      </c>
      <c r="D1337" s="81" t="s">
        <v>695</v>
      </c>
    </row>
    <row r="1338" spans="3:4">
      <c r="C1338" s="82" t="s">
        <v>694</v>
      </c>
      <c r="D1338" s="81" t="s">
        <v>693</v>
      </c>
    </row>
    <row r="1339" spans="3:4">
      <c r="C1339" s="82" t="s">
        <v>670</v>
      </c>
      <c r="D1339" s="81" t="s">
        <v>692</v>
      </c>
    </row>
    <row r="1340" spans="3:4">
      <c r="C1340" s="82" t="s">
        <v>670</v>
      </c>
      <c r="D1340" s="81" t="s">
        <v>691</v>
      </c>
    </row>
    <row r="1341" spans="3:4">
      <c r="C1341" s="82" t="s">
        <v>670</v>
      </c>
      <c r="D1341" s="81" t="s">
        <v>690</v>
      </c>
    </row>
    <row r="1342" spans="3:4">
      <c r="C1342" s="82" t="s">
        <v>670</v>
      </c>
      <c r="D1342" s="81" t="s">
        <v>689</v>
      </c>
    </row>
    <row r="1343" spans="3:4">
      <c r="C1343" s="82" t="s">
        <v>670</v>
      </c>
      <c r="D1343" s="81" t="s">
        <v>688</v>
      </c>
    </row>
    <row r="1344" spans="3:4">
      <c r="C1344" s="82" t="s">
        <v>670</v>
      </c>
      <c r="D1344" s="81" t="s">
        <v>687</v>
      </c>
    </row>
    <row r="1345" spans="3:4">
      <c r="C1345" s="82" t="s">
        <v>670</v>
      </c>
      <c r="D1345" s="81" t="s">
        <v>686</v>
      </c>
    </row>
    <row r="1346" spans="3:4">
      <c r="C1346" s="82" t="s">
        <v>670</v>
      </c>
      <c r="D1346" s="81" t="s">
        <v>685</v>
      </c>
    </row>
    <row r="1347" spans="3:4">
      <c r="C1347" s="82" t="s">
        <v>670</v>
      </c>
      <c r="D1347" s="81" t="s">
        <v>684</v>
      </c>
    </row>
    <row r="1348" spans="3:4">
      <c r="C1348" s="82" t="s">
        <v>670</v>
      </c>
      <c r="D1348" s="81" t="s">
        <v>683</v>
      </c>
    </row>
    <row r="1349" spans="3:4">
      <c r="C1349" s="82" t="s">
        <v>670</v>
      </c>
      <c r="D1349" s="81" t="s">
        <v>682</v>
      </c>
    </row>
    <row r="1350" spans="3:4">
      <c r="C1350" s="82" t="s">
        <v>670</v>
      </c>
      <c r="D1350" s="81" t="s">
        <v>681</v>
      </c>
    </row>
    <row r="1351" spans="3:4">
      <c r="C1351" s="82" t="s">
        <v>670</v>
      </c>
      <c r="D1351" s="81" t="s">
        <v>680</v>
      </c>
    </row>
    <row r="1352" spans="3:4">
      <c r="C1352" s="82" t="s">
        <v>670</v>
      </c>
      <c r="D1352" s="81" t="s">
        <v>679</v>
      </c>
    </row>
    <row r="1353" spans="3:4">
      <c r="C1353" s="82" t="s">
        <v>670</v>
      </c>
      <c r="D1353" s="81" t="s">
        <v>678</v>
      </c>
    </row>
    <row r="1354" spans="3:4">
      <c r="C1354" s="82" t="s">
        <v>670</v>
      </c>
      <c r="D1354" s="81" t="s">
        <v>677</v>
      </c>
    </row>
    <row r="1355" spans="3:4">
      <c r="C1355" s="82" t="s">
        <v>670</v>
      </c>
      <c r="D1355" s="81" t="s">
        <v>676</v>
      </c>
    </row>
    <row r="1356" spans="3:4">
      <c r="C1356" s="82" t="s">
        <v>670</v>
      </c>
      <c r="D1356" s="81" t="s">
        <v>675</v>
      </c>
    </row>
    <row r="1357" spans="3:4">
      <c r="C1357" s="82" t="s">
        <v>670</v>
      </c>
      <c r="D1357" s="81" t="s">
        <v>674</v>
      </c>
    </row>
    <row r="1358" spans="3:4">
      <c r="C1358" s="82" t="s">
        <v>670</v>
      </c>
      <c r="D1358" s="81" t="s">
        <v>673</v>
      </c>
    </row>
    <row r="1359" spans="3:4">
      <c r="C1359" s="82" t="s">
        <v>670</v>
      </c>
      <c r="D1359" s="81" t="s">
        <v>672</v>
      </c>
    </row>
    <row r="1360" spans="3:4">
      <c r="C1360" s="82" t="s">
        <v>670</v>
      </c>
      <c r="D1360" s="81" t="s">
        <v>671</v>
      </c>
    </row>
    <row r="1361" spans="3:4">
      <c r="C1361" s="82" t="s">
        <v>670</v>
      </c>
      <c r="D1361" s="81" t="s">
        <v>669</v>
      </c>
    </row>
    <row r="1362" spans="3:4">
      <c r="C1362" s="82" t="s">
        <v>650</v>
      </c>
      <c r="D1362" s="81" t="s">
        <v>668</v>
      </c>
    </row>
    <row r="1363" spans="3:4">
      <c r="C1363" s="82" t="s">
        <v>650</v>
      </c>
      <c r="D1363" s="81" t="s">
        <v>667</v>
      </c>
    </row>
    <row r="1364" spans="3:4">
      <c r="C1364" s="82" t="s">
        <v>650</v>
      </c>
      <c r="D1364" s="81" t="s">
        <v>666</v>
      </c>
    </row>
    <row r="1365" spans="3:4">
      <c r="C1365" s="82" t="s">
        <v>650</v>
      </c>
      <c r="D1365" s="81" t="s">
        <v>665</v>
      </c>
    </row>
    <row r="1366" spans="3:4">
      <c r="C1366" s="82" t="s">
        <v>650</v>
      </c>
      <c r="D1366" s="81" t="s">
        <v>664</v>
      </c>
    </row>
    <row r="1367" spans="3:4">
      <c r="C1367" s="82" t="s">
        <v>650</v>
      </c>
      <c r="D1367" s="81" t="s">
        <v>663</v>
      </c>
    </row>
    <row r="1368" spans="3:4">
      <c r="C1368" s="82" t="s">
        <v>650</v>
      </c>
      <c r="D1368" s="81" t="s">
        <v>662</v>
      </c>
    </row>
    <row r="1369" spans="3:4">
      <c r="C1369" s="82" t="s">
        <v>650</v>
      </c>
      <c r="D1369" s="81" t="s">
        <v>661</v>
      </c>
    </row>
    <row r="1370" spans="3:4">
      <c r="C1370" s="82" t="s">
        <v>650</v>
      </c>
      <c r="D1370" s="81" t="s">
        <v>660</v>
      </c>
    </row>
    <row r="1371" spans="3:4">
      <c r="C1371" s="82" t="s">
        <v>650</v>
      </c>
      <c r="D1371" s="81" t="s">
        <v>659</v>
      </c>
    </row>
    <row r="1372" spans="3:4">
      <c r="C1372" s="82" t="s">
        <v>650</v>
      </c>
      <c r="D1372" s="81" t="s">
        <v>658</v>
      </c>
    </row>
    <row r="1373" spans="3:4">
      <c r="C1373" s="82" t="s">
        <v>650</v>
      </c>
      <c r="D1373" s="81" t="s">
        <v>657</v>
      </c>
    </row>
    <row r="1374" spans="3:4">
      <c r="C1374" s="82" t="s">
        <v>650</v>
      </c>
      <c r="D1374" s="81" t="s">
        <v>656</v>
      </c>
    </row>
    <row r="1375" spans="3:4">
      <c r="C1375" s="82" t="s">
        <v>650</v>
      </c>
      <c r="D1375" s="81" t="s">
        <v>655</v>
      </c>
    </row>
    <row r="1376" spans="3:4">
      <c r="C1376" s="82" t="s">
        <v>650</v>
      </c>
      <c r="D1376" s="81" t="s">
        <v>654</v>
      </c>
    </row>
    <row r="1377" spans="3:4">
      <c r="C1377" s="82" t="s">
        <v>650</v>
      </c>
      <c r="D1377" s="81" t="s">
        <v>653</v>
      </c>
    </row>
    <row r="1378" spans="3:4">
      <c r="C1378" s="82" t="s">
        <v>650</v>
      </c>
      <c r="D1378" s="81" t="s">
        <v>652</v>
      </c>
    </row>
    <row r="1379" spans="3:4">
      <c r="C1379" s="82" t="s">
        <v>650</v>
      </c>
      <c r="D1379" s="81" t="s">
        <v>651</v>
      </c>
    </row>
    <row r="1380" spans="3:4">
      <c r="C1380" s="82" t="s">
        <v>650</v>
      </c>
      <c r="D1380" s="81" t="s">
        <v>649</v>
      </c>
    </row>
    <row r="1381" spans="3:4">
      <c r="C1381" s="82" t="s">
        <v>625</v>
      </c>
      <c r="D1381" s="81" t="s">
        <v>648</v>
      </c>
    </row>
    <row r="1382" spans="3:4">
      <c r="C1382" s="82" t="s">
        <v>625</v>
      </c>
      <c r="D1382" s="81" t="s">
        <v>647</v>
      </c>
    </row>
    <row r="1383" spans="3:4">
      <c r="C1383" s="82" t="s">
        <v>625</v>
      </c>
      <c r="D1383" s="81" t="s">
        <v>646</v>
      </c>
    </row>
    <row r="1384" spans="3:4">
      <c r="C1384" s="82" t="s">
        <v>625</v>
      </c>
      <c r="D1384" s="81" t="s">
        <v>645</v>
      </c>
    </row>
    <row r="1385" spans="3:4">
      <c r="C1385" s="82" t="s">
        <v>625</v>
      </c>
      <c r="D1385" s="81" t="s">
        <v>644</v>
      </c>
    </row>
    <row r="1386" spans="3:4">
      <c r="C1386" s="82" t="s">
        <v>625</v>
      </c>
      <c r="D1386" s="81" t="s">
        <v>643</v>
      </c>
    </row>
    <row r="1387" spans="3:4">
      <c r="C1387" s="82" t="s">
        <v>625</v>
      </c>
      <c r="D1387" s="81" t="s">
        <v>642</v>
      </c>
    </row>
    <row r="1388" spans="3:4">
      <c r="C1388" s="82" t="s">
        <v>625</v>
      </c>
      <c r="D1388" s="81" t="s">
        <v>641</v>
      </c>
    </row>
    <row r="1389" spans="3:4">
      <c r="C1389" s="82" t="s">
        <v>625</v>
      </c>
      <c r="D1389" s="81" t="s">
        <v>640</v>
      </c>
    </row>
    <row r="1390" spans="3:4">
      <c r="C1390" s="82" t="s">
        <v>625</v>
      </c>
      <c r="D1390" s="81" t="s">
        <v>639</v>
      </c>
    </row>
    <row r="1391" spans="3:4">
      <c r="C1391" s="82" t="s">
        <v>625</v>
      </c>
      <c r="D1391" s="81" t="s">
        <v>638</v>
      </c>
    </row>
    <row r="1392" spans="3:4">
      <c r="C1392" s="82" t="s">
        <v>625</v>
      </c>
      <c r="D1392" s="81" t="s">
        <v>637</v>
      </c>
    </row>
    <row r="1393" spans="3:4">
      <c r="C1393" s="82" t="s">
        <v>625</v>
      </c>
      <c r="D1393" s="81" t="s">
        <v>636</v>
      </c>
    </row>
    <row r="1394" spans="3:4">
      <c r="C1394" s="82" t="s">
        <v>625</v>
      </c>
      <c r="D1394" s="81" t="s">
        <v>635</v>
      </c>
    </row>
    <row r="1395" spans="3:4">
      <c r="C1395" s="82" t="s">
        <v>625</v>
      </c>
      <c r="D1395" s="81" t="s">
        <v>634</v>
      </c>
    </row>
    <row r="1396" spans="3:4">
      <c r="C1396" s="82" t="s">
        <v>625</v>
      </c>
      <c r="D1396" s="81" t="s">
        <v>633</v>
      </c>
    </row>
    <row r="1397" spans="3:4">
      <c r="C1397" s="82" t="s">
        <v>625</v>
      </c>
      <c r="D1397" s="81" t="s">
        <v>632</v>
      </c>
    </row>
    <row r="1398" spans="3:4">
      <c r="C1398" s="82" t="s">
        <v>625</v>
      </c>
      <c r="D1398" s="81" t="s">
        <v>631</v>
      </c>
    </row>
    <row r="1399" spans="3:4">
      <c r="C1399" s="82" t="s">
        <v>625</v>
      </c>
      <c r="D1399" s="81" t="s">
        <v>630</v>
      </c>
    </row>
    <row r="1400" spans="3:4">
      <c r="C1400" s="82" t="s">
        <v>625</v>
      </c>
      <c r="D1400" s="81" t="s">
        <v>629</v>
      </c>
    </row>
    <row r="1401" spans="3:4">
      <c r="C1401" s="82" t="s">
        <v>625</v>
      </c>
      <c r="D1401" s="81" t="s">
        <v>628</v>
      </c>
    </row>
    <row r="1402" spans="3:4">
      <c r="C1402" s="82" t="s">
        <v>625</v>
      </c>
      <c r="D1402" s="81" t="s">
        <v>627</v>
      </c>
    </row>
    <row r="1403" spans="3:4">
      <c r="C1403" s="82" t="s">
        <v>625</v>
      </c>
      <c r="D1403" s="81" t="s">
        <v>626</v>
      </c>
    </row>
    <row r="1404" spans="3:4">
      <c r="C1404" s="82" t="s">
        <v>625</v>
      </c>
      <c r="D1404" s="81" t="s">
        <v>624</v>
      </c>
    </row>
    <row r="1405" spans="3:4">
      <c r="C1405" s="82" t="s">
        <v>607</v>
      </c>
      <c r="D1405" s="81" t="s">
        <v>623</v>
      </c>
    </row>
    <row r="1406" spans="3:4">
      <c r="C1406" s="82" t="s">
        <v>607</v>
      </c>
      <c r="D1406" s="81" t="s">
        <v>622</v>
      </c>
    </row>
    <row r="1407" spans="3:4">
      <c r="C1407" s="82" t="s">
        <v>607</v>
      </c>
      <c r="D1407" s="81" t="s">
        <v>621</v>
      </c>
    </row>
    <row r="1408" spans="3:4">
      <c r="C1408" s="82" t="s">
        <v>607</v>
      </c>
      <c r="D1408" s="81" t="s">
        <v>620</v>
      </c>
    </row>
    <row r="1409" spans="3:4">
      <c r="C1409" s="82" t="s">
        <v>607</v>
      </c>
      <c r="D1409" s="81" t="s">
        <v>619</v>
      </c>
    </row>
    <row r="1410" spans="3:4">
      <c r="C1410" s="82" t="s">
        <v>607</v>
      </c>
      <c r="D1410" s="81" t="s">
        <v>618</v>
      </c>
    </row>
    <row r="1411" spans="3:4">
      <c r="C1411" s="82" t="s">
        <v>607</v>
      </c>
      <c r="D1411" s="81" t="s">
        <v>617</v>
      </c>
    </row>
    <row r="1412" spans="3:4">
      <c r="C1412" s="82" t="s">
        <v>607</v>
      </c>
      <c r="D1412" s="81" t="s">
        <v>616</v>
      </c>
    </row>
    <row r="1413" spans="3:4">
      <c r="C1413" s="82" t="s">
        <v>607</v>
      </c>
      <c r="D1413" s="81" t="s">
        <v>615</v>
      </c>
    </row>
    <row r="1414" spans="3:4">
      <c r="C1414" s="82" t="s">
        <v>607</v>
      </c>
      <c r="D1414" s="81" t="s">
        <v>614</v>
      </c>
    </row>
    <row r="1415" spans="3:4">
      <c r="C1415" s="82" t="s">
        <v>607</v>
      </c>
      <c r="D1415" s="81" t="s">
        <v>613</v>
      </c>
    </row>
    <row r="1416" spans="3:4">
      <c r="C1416" s="82" t="s">
        <v>607</v>
      </c>
      <c r="D1416" s="81" t="s">
        <v>612</v>
      </c>
    </row>
    <row r="1417" spans="3:4">
      <c r="C1417" s="82" t="s">
        <v>607</v>
      </c>
      <c r="D1417" s="81" t="s">
        <v>611</v>
      </c>
    </row>
    <row r="1418" spans="3:4">
      <c r="C1418" s="82" t="s">
        <v>607</v>
      </c>
      <c r="D1418" s="81" t="s">
        <v>610</v>
      </c>
    </row>
    <row r="1419" spans="3:4">
      <c r="C1419" s="82" t="s">
        <v>607</v>
      </c>
      <c r="D1419" s="81" t="s">
        <v>609</v>
      </c>
    </row>
    <row r="1420" spans="3:4">
      <c r="C1420" s="82" t="s">
        <v>607</v>
      </c>
      <c r="D1420" s="81" t="s">
        <v>608</v>
      </c>
    </row>
    <row r="1421" spans="3:4">
      <c r="C1421" s="82" t="s">
        <v>607</v>
      </c>
      <c r="D1421" s="81" t="s">
        <v>606</v>
      </c>
    </row>
    <row r="1422" spans="3:4">
      <c r="C1422" s="82" t="s">
        <v>586</v>
      </c>
      <c r="D1422" s="81" t="s">
        <v>605</v>
      </c>
    </row>
    <row r="1423" spans="3:4">
      <c r="C1423" s="82" t="s">
        <v>586</v>
      </c>
      <c r="D1423" s="81" t="s">
        <v>604</v>
      </c>
    </row>
    <row r="1424" spans="3:4">
      <c r="C1424" s="82" t="s">
        <v>586</v>
      </c>
      <c r="D1424" s="81" t="s">
        <v>603</v>
      </c>
    </row>
    <row r="1425" spans="3:4">
      <c r="C1425" s="82" t="s">
        <v>586</v>
      </c>
      <c r="D1425" s="81" t="s">
        <v>602</v>
      </c>
    </row>
    <row r="1426" spans="3:4">
      <c r="C1426" s="82" t="s">
        <v>586</v>
      </c>
      <c r="D1426" s="81" t="s">
        <v>601</v>
      </c>
    </row>
    <row r="1427" spans="3:4">
      <c r="C1427" s="82" t="s">
        <v>586</v>
      </c>
      <c r="D1427" s="81" t="s">
        <v>600</v>
      </c>
    </row>
    <row r="1428" spans="3:4">
      <c r="C1428" s="82" t="s">
        <v>586</v>
      </c>
      <c r="D1428" s="81" t="s">
        <v>599</v>
      </c>
    </row>
    <row r="1429" spans="3:4">
      <c r="C1429" s="82" t="s">
        <v>586</v>
      </c>
      <c r="D1429" s="81" t="s">
        <v>598</v>
      </c>
    </row>
    <row r="1430" spans="3:4">
      <c r="C1430" s="82" t="s">
        <v>586</v>
      </c>
      <c r="D1430" s="81" t="s">
        <v>597</v>
      </c>
    </row>
    <row r="1431" spans="3:4">
      <c r="C1431" s="82" t="s">
        <v>586</v>
      </c>
      <c r="D1431" s="81" t="s">
        <v>596</v>
      </c>
    </row>
    <row r="1432" spans="3:4">
      <c r="C1432" s="82" t="s">
        <v>586</v>
      </c>
      <c r="D1432" s="81" t="s">
        <v>595</v>
      </c>
    </row>
    <row r="1433" spans="3:4">
      <c r="C1433" s="82" t="s">
        <v>586</v>
      </c>
      <c r="D1433" s="81" t="s">
        <v>594</v>
      </c>
    </row>
    <row r="1434" spans="3:4">
      <c r="C1434" s="82" t="s">
        <v>586</v>
      </c>
      <c r="D1434" s="81" t="s">
        <v>593</v>
      </c>
    </row>
    <row r="1435" spans="3:4">
      <c r="C1435" s="82" t="s">
        <v>586</v>
      </c>
      <c r="D1435" s="81" t="s">
        <v>592</v>
      </c>
    </row>
    <row r="1436" spans="3:4">
      <c r="C1436" s="82" t="s">
        <v>586</v>
      </c>
      <c r="D1436" s="81" t="s">
        <v>591</v>
      </c>
    </row>
    <row r="1437" spans="3:4">
      <c r="C1437" s="82" t="s">
        <v>586</v>
      </c>
      <c r="D1437" s="81" t="s">
        <v>590</v>
      </c>
    </row>
    <row r="1438" spans="3:4">
      <c r="C1438" s="82" t="s">
        <v>586</v>
      </c>
      <c r="D1438" s="81" t="s">
        <v>589</v>
      </c>
    </row>
    <row r="1439" spans="3:4">
      <c r="C1439" s="82" t="s">
        <v>586</v>
      </c>
      <c r="D1439" s="81" t="s">
        <v>588</v>
      </c>
    </row>
    <row r="1440" spans="3:4">
      <c r="C1440" s="82" t="s">
        <v>586</v>
      </c>
      <c r="D1440" s="81" t="s">
        <v>587</v>
      </c>
    </row>
    <row r="1441" spans="3:4">
      <c r="C1441" s="82" t="s">
        <v>586</v>
      </c>
      <c r="D1441" s="81" t="s">
        <v>585</v>
      </c>
    </row>
    <row r="1442" spans="3:4">
      <c r="C1442" s="82" t="s">
        <v>551</v>
      </c>
      <c r="D1442" s="81" t="s">
        <v>584</v>
      </c>
    </row>
    <row r="1443" spans="3:4">
      <c r="C1443" s="82" t="s">
        <v>551</v>
      </c>
      <c r="D1443" s="81" t="s">
        <v>583</v>
      </c>
    </row>
    <row r="1444" spans="3:4">
      <c r="C1444" s="82" t="s">
        <v>551</v>
      </c>
      <c r="D1444" s="81" t="s">
        <v>582</v>
      </c>
    </row>
    <row r="1445" spans="3:4">
      <c r="C1445" s="82" t="s">
        <v>551</v>
      </c>
      <c r="D1445" s="81" t="s">
        <v>581</v>
      </c>
    </row>
    <row r="1446" spans="3:4">
      <c r="C1446" s="82" t="s">
        <v>551</v>
      </c>
      <c r="D1446" s="81" t="s">
        <v>580</v>
      </c>
    </row>
    <row r="1447" spans="3:4">
      <c r="C1447" s="82" t="s">
        <v>551</v>
      </c>
      <c r="D1447" s="81" t="s">
        <v>579</v>
      </c>
    </row>
    <row r="1448" spans="3:4">
      <c r="C1448" s="82" t="s">
        <v>551</v>
      </c>
      <c r="D1448" s="81" t="s">
        <v>578</v>
      </c>
    </row>
    <row r="1449" spans="3:4">
      <c r="C1449" s="82" t="s">
        <v>551</v>
      </c>
      <c r="D1449" s="81" t="s">
        <v>577</v>
      </c>
    </row>
    <row r="1450" spans="3:4">
      <c r="C1450" s="82" t="s">
        <v>551</v>
      </c>
      <c r="D1450" s="81" t="s">
        <v>576</v>
      </c>
    </row>
    <row r="1451" spans="3:4">
      <c r="C1451" s="82" t="s">
        <v>551</v>
      </c>
      <c r="D1451" s="81" t="s">
        <v>575</v>
      </c>
    </row>
    <row r="1452" spans="3:4">
      <c r="C1452" s="82" t="s">
        <v>551</v>
      </c>
      <c r="D1452" s="81" t="s">
        <v>574</v>
      </c>
    </row>
    <row r="1453" spans="3:4">
      <c r="C1453" s="82" t="s">
        <v>551</v>
      </c>
      <c r="D1453" s="81" t="s">
        <v>573</v>
      </c>
    </row>
    <row r="1454" spans="3:4">
      <c r="C1454" s="82" t="s">
        <v>551</v>
      </c>
      <c r="D1454" s="81" t="s">
        <v>572</v>
      </c>
    </row>
    <row r="1455" spans="3:4">
      <c r="C1455" s="82" t="s">
        <v>551</v>
      </c>
      <c r="D1455" s="81" t="s">
        <v>571</v>
      </c>
    </row>
    <row r="1456" spans="3:4">
      <c r="C1456" s="82" t="s">
        <v>551</v>
      </c>
      <c r="D1456" s="81" t="s">
        <v>570</v>
      </c>
    </row>
    <row r="1457" spans="3:4">
      <c r="C1457" s="82" t="s">
        <v>551</v>
      </c>
      <c r="D1457" s="81" t="s">
        <v>569</v>
      </c>
    </row>
    <row r="1458" spans="3:4">
      <c r="C1458" s="82" t="s">
        <v>551</v>
      </c>
      <c r="D1458" s="81" t="s">
        <v>568</v>
      </c>
    </row>
    <row r="1459" spans="3:4">
      <c r="C1459" s="82" t="s">
        <v>551</v>
      </c>
      <c r="D1459" s="81" t="s">
        <v>567</v>
      </c>
    </row>
    <row r="1460" spans="3:4">
      <c r="C1460" s="82" t="s">
        <v>551</v>
      </c>
      <c r="D1460" s="81" t="s">
        <v>566</v>
      </c>
    </row>
    <row r="1461" spans="3:4">
      <c r="C1461" s="82" t="s">
        <v>551</v>
      </c>
      <c r="D1461" s="81" t="s">
        <v>565</v>
      </c>
    </row>
    <row r="1462" spans="3:4">
      <c r="C1462" s="82" t="s">
        <v>551</v>
      </c>
      <c r="D1462" s="81" t="s">
        <v>564</v>
      </c>
    </row>
    <row r="1463" spans="3:4">
      <c r="C1463" s="82" t="s">
        <v>551</v>
      </c>
      <c r="D1463" s="81" t="s">
        <v>563</v>
      </c>
    </row>
    <row r="1464" spans="3:4">
      <c r="C1464" s="82" t="s">
        <v>551</v>
      </c>
      <c r="D1464" s="81" t="s">
        <v>562</v>
      </c>
    </row>
    <row r="1465" spans="3:4">
      <c r="C1465" s="82" t="s">
        <v>551</v>
      </c>
      <c r="D1465" s="81" t="s">
        <v>561</v>
      </c>
    </row>
    <row r="1466" spans="3:4">
      <c r="C1466" s="82" t="s">
        <v>551</v>
      </c>
      <c r="D1466" s="81" t="s">
        <v>560</v>
      </c>
    </row>
    <row r="1467" spans="3:4">
      <c r="C1467" s="82" t="s">
        <v>551</v>
      </c>
      <c r="D1467" s="81" t="s">
        <v>559</v>
      </c>
    </row>
    <row r="1468" spans="3:4">
      <c r="C1468" s="82" t="s">
        <v>551</v>
      </c>
      <c r="D1468" s="81" t="s">
        <v>558</v>
      </c>
    </row>
    <row r="1469" spans="3:4">
      <c r="C1469" s="82" t="s">
        <v>551</v>
      </c>
      <c r="D1469" s="81" t="s">
        <v>557</v>
      </c>
    </row>
    <row r="1470" spans="3:4">
      <c r="C1470" s="82" t="s">
        <v>551</v>
      </c>
      <c r="D1470" s="81" t="s">
        <v>556</v>
      </c>
    </row>
    <row r="1471" spans="3:4">
      <c r="C1471" s="82" t="s">
        <v>551</v>
      </c>
      <c r="D1471" s="81" t="s">
        <v>555</v>
      </c>
    </row>
    <row r="1472" spans="3:4">
      <c r="C1472" s="82" t="s">
        <v>551</v>
      </c>
      <c r="D1472" s="81" t="s">
        <v>554</v>
      </c>
    </row>
    <row r="1473" spans="3:4">
      <c r="C1473" s="82" t="s">
        <v>551</v>
      </c>
      <c r="D1473" s="81" t="s">
        <v>553</v>
      </c>
    </row>
    <row r="1474" spans="3:4">
      <c r="C1474" s="82" t="s">
        <v>551</v>
      </c>
      <c r="D1474" s="81" t="s">
        <v>552</v>
      </c>
    </row>
    <row r="1475" spans="3:4">
      <c r="C1475" s="82" t="s">
        <v>551</v>
      </c>
      <c r="D1475" s="81" t="s">
        <v>550</v>
      </c>
    </row>
    <row r="1476" spans="3:4">
      <c r="C1476" s="82" t="s">
        <v>489</v>
      </c>
      <c r="D1476" s="81" t="s">
        <v>549</v>
      </c>
    </row>
    <row r="1477" spans="3:4">
      <c r="C1477" s="82" t="s">
        <v>489</v>
      </c>
      <c r="D1477" s="81" t="s">
        <v>548</v>
      </c>
    </row>
    <row r="1478" spans="3:4">
      <c r="C1478" s="82" t="s">
        <v>489</v>
      </c>
      <c r="D1478" s="81" t="s">
        <v>547</v>
      </c>
    </row>
    <row r="1479" spans="3:4">
      <c r="C1479" s="82" t="s">
        <v>489</v>
      </c>
      <c r="D1479" s="81" t="s">
        <v>546</v>
      </c>
    </row>
    <row r="1480" spans="3:4">
      <c r="C1480" s="82" t="s">
        <v>489</v>
      </c>
      <c r="D1480" s="81" t="s">
        <v>545</v>
      </c>
    </row>
    <row r="1481" spans="3:4">
      <c r="C1481" s="82" t="s">
        <v>489</v>
      </c>
      <c r="D1481" s="81" t="s">
        <v>544</v>
      </c>
    </row>
    <row r="1482" spans="3:4">
      <c r="C1482" s="82" t="s">
        <v>489</v>
      </c>
      <c r="D1482" s="81" t="s">
        <v>543</v>
      </c>
    </row>
    <row r="1483" spans="3:4">
      <c r="C1483" s="82" t="s">
        <v>489</v>
      </c>
      <c r="D1483" s="81" t="s">
        <v>542</v>
      </c>
    </row>
    <row r="1484" spans="3:4">
      <c r="C1484" s="82" t="s">
        <v>489</v>
      </c>
      <c r="D1484" s="81" t="s">
        <v>541</v>
      </c>
    </row>
    <row r="1485" spans="3:4">
      <c r="C1485" s="82" t="s">
        <v>489</v>
      </c>
      <c r="D1485" s="81" t="s">
        <v>540</v>
      </c>
    </row>
    <row r="1486" spans="3:4">
      <c r="C1486" s="82" t="s">
        <v>489</v>
      </c>
      <c r="D1486" s="81" t="s">
        <v>539</v>
      </c>
    </row>
    <row r="1487" spans="3:4">
      <c r="C1487" s="82" t="s">
        <v>489</v>
      </c>
      <c r="D1487" s="81" t="s">
        <v>538</v>
      </c>
    </row>
    <row r="1488" spans="3:4">
      <c r="C1488" s="82" t="s">
        <v>489</v>
      </c>
      <c r="D1488" s="81" t="s">
        <v>537</v>
      </c>
    </row>
    <row r="1489" spans="3:4">
      <c r="C1489" s="82" t="s">
        <v>489</v>
      </c>
      <c r="D1489" s="81" t="s">
        <v>536</v>
      </c>
    </row>
    <row r="1490" spans="3:4">
      <c r="C1490" s="82" t="s">
        <v>489</v>
      </c>
      <c r="D1490" s="81" t="s">
        <v>535</v>
      </c>
    </row>
    <row r="1491" spans="3:4">
      <c r="C1491" s="82" t="s">
        <v>489</v>
      </c>
      <c r="D1491" s="81" t="s">
        <v>534</v>
      </c>
    </row>
    <row r="1492" spans="3:4">
      <c r="C1492" s="82" t="s">
        <v>489</v>
      </c>
      <c r="D1492" s="81" t="s">
        <v>533</v>
      </c>
    </row>
    <row r="1493" spans="3:4">
      <c r="C1493" s="82" t="s">
        <v>489</v>
      </c>
      <c r="D1493" s="81" t="s">
        <v>532</v>
      </c>
    </row>
    <row r="1494" spans="3:4">
      <c r="C1494" s="82" t="s">
        <v>489</v>
      </c>
      <c r="D1494" s="81" t="s">
        <v>531</v>
      </c>
    </row>
    <row r="1495" spans="3:4">
      <c r="C1495" s="82" t="s">
        <v>489</v>
      </c>
      <c r="D1495" s="81" t="s">
        <v>530</v>
      </c>
    </row>
    <row r="1496" spans="3:4">
      <c r="C1496" s="82" t="s">
        <v>489</v>
      </c>
      <c r="D1496" s="81" t="s">
        <v>529</v>
      </c>
    </row>
    <row r="1497" spans="3:4">
      <c r="C1497" s="82" t="s">
        <v>489</v>
      </c>
      <c r="D1497" s="81" t="s">
        <v>528</v>
      </c>
    </row>
    <row r="1498" spans="3:4">
      <c r="C1498" s="82" t="s">
        <v>489</v>
      </c>
      <c r="D1498" s="81" t="s">
        <v>527</v>
      </c>
    </row>
    <row r="1499" spans="3:4">
      <c r="C1499" s="82" t="s">
        <v>489</v>
      </c>
      <c r="D1499" s="81" t="s">
        <v>526</v>
      </c>
    </row>
    <row r="1500" spans="3:4">
      <c r="C1500" s="82" t="s">
        <v>489</v>
      </c>
      <c r="D1500" s="81" t="s">
        <v>525</v>
      </c>
    </row>
    <row r="1501" spans="3:4">
      <c r="C1501" s="82" t="s">
        <v>489</v>
      </c>
      <c r="D1501" s="81" t="s">
        <v>524</v>
      </c>
    </row>
    <row r="1502" spans="3:4">
      <c r="C1502" s="82" t="s">
        <v>489</v>
      </c>
      <c r="D1502" s="81" t="s">
        <v>523</v>
      </c>
    </row>
    <row r="1503" spans="3:4">
      <c r="C1503" s="82" t="s">
        <v>489</v>
      </c>
      <c r="D1503" s="81" t="s">
        <v>522</v>
      </c>
    </row>
    <row r="1504" spans="3:4">
      <c r="C1504" s="82" t="s">
        <v>521</v>
      </c>
      <c r="D1504" s="81" t="s">
        <v>520</v>
      </c>
    </row>
    <row r="1505" spans="3:4">
      <c r="C1505" s="82" t="s">
        <v>489</v>
      </c>
      <c r="D1505" s="81" t="s">
        <v>519</v>
      </c>
    </row>
    <row r="1506" spans="3:4">
      <c r="C1506" s="82" t="s">
        <v>489</v>
      </c>
      <c r="D1506" s="81" t="s">
        <v>518</v>
      </c>
    </row>
    <row r="1507" spans="3:4">
      <c r="C1507" s="82" t="s">
        <v>489</v>
      </c>
      <c r="D1507" s="81" t="s">
        <v>517</v>
      </c>
    </row>
    <row r="1508" spans="3:4">
      <c r="C1508" s="82" t="s">
        <v>489</v>
      </c>
      <c r="D1508" s="81" t="s">
        <v>516</v>
      </c>
    </row>
    <row r="1509" spans="3:4">
      <c r="C1509" s="82" t="s">
        <v>489</v>
      </c>
      <c r="D1509" s="81" t="s">
        <v>515</v>
      </c>
    </row>
    <row r="1510" spans="3:4">
      <c r="C1510" s="82" t="s">
        <v>489</v>
      </c>
      <c r="D1510" s="81" t="s">
        <v>514</v>
      </c>
    </row>
    <row r="1511" spans="3:4">
      <c r="C1511" s="82" t="s">
        <v>489</v>
      </c>
      <c r="D1511" s="81" t="s">
        <v>513</v>
      </c>
    </row>
    <row r="1512" spans="3:4">
      <c r="C1512" s="82" t="s">
        <v>489</v>
      </c>
      <c r="D1512" s="81" t="s">
        <v>512</v>
      </c>
    </row>
    <row r="1513" spans="3:4">
      <c r="C1513" s="82" t="s">
        <v>489</v>
      </c>
      <c r="D1513" s="81" t="s">
        <v>511</v>
      </c>
    </row>
    <row r="1514" spans="3:4">
      <c r="C1514" s="82" t="s">
        <v>489</v>
      </c>
      <c r="D1514" s="81" t="s">
        <v>510</v>
      </c>
    </row>
    <row r="1515" spans="3:4">
      <c r="C1515" s="82" t="s">
        <v>489</v>
      </c>
      <c r="D1515" s="81" t="s">
        <v>509</v>
      </c>
    </row>
    <row r="1516" spans="3:4">
      <c r="C1516" s="82" t="s">
        <v>489</v>
      </c>
      <c r="D1516" s="81" t="s">
        <v>508</v>
      </c>
    </row>
    <row r="1517" spans="3:4">
      <c r="C1517" s="82" t="s">
        <v>489</v>
      </c>
      <c r="D1517" s="81" t="s">
        <v>507</v>
      </c>
    </row>
    <row r="1518" spans="3:4">
      <c r="C1518" s="82" t="s">
        <v>489</v>
      </c>
      <c r="D1518" s="81" t="s">
        <v>506</v>
      </c>
    </row>
    <row r="1519" spans="3:4">
      <c r="C1519" s="82" t="s">
        <v>489</v>
      </c>
      <c r="D1519" s="81" t="s">
        <v>505</v>
      </c>
    </row>
    <row r="1520" spans="3:4">
      <c r="C1520" s="82" t="s">
        <v>489</v>
      </c>
      <c r="D1520" s="81" t="s">
        <v>504</v>
      </c>
    </row>
    <row r="1521" spans="3:4">
      <c r="C1521" s="82" t="s">
        <v>489</v>
      </c>
      <c r="D1521" s="81" t="s">
        <v>503</v>
      </c>
    </row>
    <row r="1522" spans="3:4">
      <c r="C1522" s="82" t="s">
        <v>489</v>
      </c>
      <c r="D1522" s="81" t="s">
        <v>502</v>
      </c>
    </row>
    <row r="1523" spans="3:4">
      <c r="C1523" s="82" t="s">
        <v>489</v>
      </c>
      <c r="D1523" s="81" t="s">
        <v>501</v>
      </c>
    </row>
    <row r="1524" spans="3:4">
      <c r="C1524" s="82" t="s">
        <v>489</v>
      </c>
      <c r="D1524" s="81" t="s">
        <v>500</v>
      </c>
    </row>
    <row r="1525" spans="3:4">
      <c r="C1525" s="82" t="s">
        <v>489</v>
      </c>
      <c r="D1525" s="81" t="s">
        <v>499</v>
      </c>
    </row>
    <row r="1526" spans="3:4">
      <c r="C1526" s="82" t="s">
        <v>489</v>
      </c>
      <c r="D1526" s="81" t="s">
        <v>498</v>
      </c>
    </row>
    <row r="1527" spans="3:4">
      <c r="C1527" s="82" t="s">
        <v>489</v>
      </c>
      <c r="D1527" s="81" t="s">
        <v>497</v>
      </c>
    </row>
    <row r="1528" spans="3:4">
      <c r="C1528" s="82" t="s">
        <v>489</v>
      </c>
      <c r="D1528" s="81" t="s">
        <v>496</v>
      </c>
    </row>
    <row r="1529" spans="3:4">
      <c r="C1529" s="82" t="s">
        <v>489</v>
      </c>
      <c r="D1529" s="81" t="s">
        <v>495</v>
      </c>
    </row>
    <row r="1530" spans="3:4">
      <c r="C1530" s="82" t="s">
        <v>489</v>
      </c>
      <c r="D1530" s="81" t="s">
        <v>494</v>
      </c>
    </row>
    <row r="1531" spans="3:4">
      <c r="C1531" s="82" t="s">
        <v>489</v>
      </c>
      <c r="D1531" s="81" t="s">
        <v>493</v>
      </c>
    </row>
    <row r="1532" spans="3:4">
      <c r="C1532" s="82" t="s">
        <v>489</v>
      </c>
      <c r="D1532" s="81" t="s">
        <v>492</v>
      </c>
    </row>
    <row r="1533" spans="3:4">
      <c r="C1533" s="82" t="s">
        <v>489</v>
      </c>
      <c r="D1533" s="81" t="s">
        <v>491</v>
      </c>
    </row>
    <row r="1534" spans="3:4">
      <c r="C1534" s="82" t="s">
        <v>489</v>
      </c>
      <c r="D1534" s="81" t="s">
        <v>490</v>
      </c>
    </row>
    <row r="1535" spans="3:4">
      <c r="C1535" s="82" t="s">
        <v>489</v>
      </c>
      <c r="D1535" s="81" t="s">
        <v>488</v>
      </c>
    </row>
    <row r="1536" spans="3:4">
      <c r="C1536" s="82" t="s">
        <v>468</v>
      </c>
      <c r="D1536" s="81" t="s">
        <v>487</v>
      </c>
    </row>
    <row r="1537" spans="3:4">
      <c r="C1537" s="82" t="s">
        <v>468</v>
      </c>
      <c r="D1537" s="81" t="s">
        <v>486</v>
      </c>
    </row>
    <row r="1538" spans="3:4">
      <c r="C1538" s="82" t="s">
        <v>468</v>
      </c>
      <c r="D1538" s="81" t="s">
        <v>485</v>
      </c>
    </row>
    <row r="1539" spans="3:4">
      <c r="C1539" s="82" t="s">
        <v>468</v>
      </c>
      <c r="D1539" s="81" t="s">
        <v>484</v>
      </c>
    </row>
    <row r="1540" spans="3:4">
      <c r="C1540" s="82" t="s">
        <v>468</v>
      </c>
      <c r="D1540" s="81" t="s">
        <v>483</v>
      </c>
    </row>
    <row r="1541" spans="3:4">
      <c r="C1541" s="82" t="s">
        <v>468</v>
      </c>
      <c r="D1541" s="81" t="s">
        <v>482</v>
      </c>
    </row>
    <row r="1542" spans="3:4">
      <c r="C1542" s="82" t="s">
        <v>468</v>
      </c>
      <c r="D1542" s="81" t="s">
        <v>481</v>
      </c>
    </row>
    <row r="1543" spans="3:4">
      <c r="C1543" s="82" t="s">
        <v>468</v>
      </c>
      <c r="D1543" s="81" t="s">
        <v>480</v>
      </c>
    </row>
    <row r="1544" spans="3:4">
      <c r="C1544" s="82" t="s">
        <v>468</v>
      </c>
      <c r="D1544" s="81" t="s">
        <v>479</v>
      </c>
    </row>
    <row r="1545" spans="3:4">
      <c r="C1545" s="82" t="s">
        <v>468</v>
      </c>
      <c r="D1545" s="81" t="s">
        <v>478</v>
      </c>
    </row>
    <row r="1546" spans="3:4">
      <c r="C1546" s="82" t="s">
        <v>468</v>
      </c>
      <c r="D1546" s="81" t="s">
        <v>477</v>
      </c>
    </row>
    <row r="1547" spans="3:4">
      <c r="C1547" s="82" t="s">
        <v>468</v>
      </c>
      <c r="D1547" s="81" t="s">
        <v>476</v>
      </c>
    </row>
    <row r="1548" spans="3:4">
      <c r="C1548" s="82" t="s">
        <v>468</v>
      </c>
      <c r="D1548" s="81" t="s">
        <v>475</v>
      </c>
    </row>
    <row r="1549" spans="3:4">
      <c r="C1549" s="82" t="s">
        <v>468</v>
      </c>
      <c r="D1549" s="81" t="s">
        <v>474</v>
      </c>
    </row>
    <row r="1550" spans="3:4">
      <c r="C1550" s="82" t="s">
        <v>468</v>
      </c>
      <c r="D1550" s="81" t="s">
        <v>473</v>
      </c>
    </row>
    <row r="1551" spans="3:4">
      <c r="C1551" s="82" t="s">
        <v>468</v>
      </c>
      <c r="D1551" s="81" t="s">
        <v>472</v>
      </c>
    </row>
    <row r="1552" spans="3:4">
      <c r="C1552" s="82" t="s">
        <v>468</v>
      </c>
      <c r="D1552" s="81" t="s">
        <v>471</v>
      </c>
    </row>
    <row r="1553" spans="3:4">
      <c r="C1553" s="82" t="s">
        <v>468</v>
      </c>
      <c r="D1553" s="81" t="s">
        <v>470</v>
      </c>
    </row>
    <row r="1554" spans="3:4">
      <c r="C1554" s="82" t="s">
        <v>468</v>
      </c>
      <c r="D1554" s="81" t="s">
        <v>469</v>
      </c>
    </row>
    <row r="1555" spans="3:4">
      <c r="C1555" s="82" t="s">
        <v>468</v>
      </c>
      <c r="D1555" s="81" t="s">
        <v>467</v>
      </c>
    </row>
    <row r="1556" spans="3:4">
      <c r="C1556" s="82" t="s">
        <v>446</v>
      </c>
      <c r="D1556" s="81" t="s">
        <v>466</v>
      </c>
    </row>
    <row r="1557" spans="3:4">
      <c r="C1557" s="82" t="s">
        <v>446</v>
      </c>
      <c r="D1557" s="81" t="s">
        <v>465</v>
      </c>
    </row>
    <row r="1558" spans="3:4">
      <c r="C1558" s="82" t="s">
        <v>446</v>
      </c>
      <c r="D1558" s="81" t="s">
        <v>464</v>
      </c>
    </row>
    <row r="1559" spans="3:4">
      <c r="C1559" s="82" t="s">
        <v>446</v>
      </c>
      <c r="D1559" s="81" t="s">
        <v>463</v>
      </c>
    </row>
    <row r="1560" spans="3:4">
      <c r="C1560" s="82" t="s">
        <v>446</v>
      </c>
      <c r="D1560" s="81" t="s">
        <v>462</v>
      </c>
    </row>
    <row r="1561" spans="3:4">
      <c r="C1561" s="82" t="s">
        <v>446</v>
      </c>
      <c r="D1561" s="81" t="s">
        <v>461</v>
      </c>
    </row>
    <row r="1562" spans="3:4">
      <c r="C1562" s="82" t="s">
        <v>446</v>
      </c>
      <c r="D1562" s="81" t="s">
        <v>460</v>
      </c>
    </row>
    <row r="1563" spans="3:4">
      <c r="C1563" s="82" t="s">
        <v>446</v>
      </c>
      <c r="D1563" s="81" t="s">
        <v>459</v>
      </c>
    </row>
    <row r="1564" spans="3:4">
      <c r="C1564" s="82" t="s">
        <v>446</v>
      </c>
      <c r="D1564" s="81" t="s">
        <v>458</v>
      </c>
    </row>
    <row r="1565" spans="3:4">
      <c r="C1565" s="82" t="s">
        <v>446</v>
      </c>
      <c r="D1565" s="81" t="s">
        <v>457</v>
      </c>
    </row>
    <row r="1566" spans="3:4">
      <c r="C1566" s="82" t="s">
        <v>446</v>
      </c>
      <c r="D1566" s="81" t="s">
        <v>456</v>
      </c>
    </row>
    <row r="1567" spans="3:4">
      <c r="C1567" s="82" t="s">
        <v>446</v>
      </c>
      <c r="D1567" s="81" t="s">
        <v>455</v>
      </c>
    </row>
    <row r="1568" spans="3:4">
      <c r="C1568" s="82" t="s">
        <v>446</v>
      </c>
      <c r="D1568" s="81" t="s">
        <v>454</v>
      </c>
    </row>
    <row r="1569" spans="3:4">
      <c r="C1569" s="82" t="s">
        <v>446</v>
      </c>
      <c r="D1569" s="81" t="s">
        <v>453</v>
      </c>
    </row>
    <row r="1570" spans="3:4">
      <c r="C1570" s="82" t="s">
        <v>446</v>
      </c>
      <c r="D1570" s="81" t="s">
        <v>452</v>
      </c>
    </row>
    <row r="1571" spans="3:4">
      <c r="C1571" s="82" t="s">
        <v>446</v>
      </c>
      <c r="D1571" s="81" t="s">
        <v>451</v>
      </c>
    </row>
    <row r="1572" spans="3:4">
      <c r="C1572" s="82" t="s">
        <v>446</v>
      </c>
      <c r="D1572" s="81" t="s">
        <v>450</v>
      </c>
    </row>
    <row r="1573" spans="3:4">
      <c r="C1573" s="82" t="s">
        <v>446</v>
      </c>
      <c r="D1573" s="81" t="s">
        <v>449</v>
      </c>
    </row>
    <row r="1574" spans="3:4">
      <c r="C1574" s="82" t="s">
        <v>446</v>
      </c>
      <c r="D1574" s="81" t="s">
        <v>448</v>
      </c>
    </row>
    <row r="1575" spans="3:4">
      <c r="C1575" s="82" t="s">
        <v>446</v>
      </c>
      <c r="D1575" s="81" t="s">
        <v>447</v>
      </c>
    </row>
    <row r="1576" spans="3:4">
      <c r="C1576" s="82" t="s">
        <v>446</v>
      </c>
      <c r="D1576" s="81" t="s">
        <v>445</v>
      </c>
    </row>
    <row r="1577" spans="3:4">
      <c r="C1577" s="82" t="s">
        <v>400</v>
      </c>
      <c r="D1577" s="81" t="s">
        <v>444</v>
      </c>
    </row>
    <row r="1578" spans="3:4">
      <c r="C1578" s="82" t="s">
        <v>400</v>
      </c>
      <c r="D1578" s="81" t="s">
        <v>443</v>
      </c>
    </row>
    <row r="1579" spans="3:4">
      <c r="C1579" s="82" t="s">
        <v>400</v>
      </c>
      <c r="D1579" s="81" t="s">
        <v>442</v>
      </c>
    </row>
    <row r="1580" spans="3:4">
      <c r="C1580" s="82" t="s">
        <v>400</v>
      </c>
      <c r="D1580" s="81" t="s">
        <v>441</v>
      </c>
    </row>
    <row r="1581" spans="3:4">
      <c r="C1581" s="82" t="s">
        <v>400</v>
      </c>
      <c r="D1581" s="81" t="s">
        <v>440</v>
      </c>
    </row>
    <row r="1582" spans="3:4">
      <c r="C1582" s="82" t="s">
        <v>400</v>
      </c>
      <c r="D1582" s="81" t="s">
        <v>439</v>
      </c>
    </row>
    <row r="1583" spans="3:4">
      <c r="C1583" s="82" t="s">
        <v>400</v>
      </c>
      <c r="D1583" s="81" t="s">
        <v>438</v>
      </c>
    </row>
    <row r="1584" spans="3:4">
      <c r="C1584" s="82" t="s">
        <v>400</v>
      </c>
      <c r="D1584" s="81" t="s">
        <v>437</v>
      </c>
    </row>
    <row r="1585" spans="3:4">
      <c r="C1585" s="82" t="s">
        <v>400</v>
      </c>
      <c r="D1585" s="81" t="s">
        <v>436</v>
      </c>
    </row>
    <row r="1586" spans="3:4">
      <c r="C1586" s="82" t="s">
        <v>400</v>
      </c>
      <c r="D1586" s="81" t="s">
        <v>435</v>
      </c>
    </row>
    <row r="1587" spans="3:4">
      <c r="C1587" s="82" t="s">
        <v>400</v>
      </c>
      <c r="D1587" s="81" t="s">
        <v>434</v>
      </c>
    </row>
    <row r="1588" spans="3:4">
      <c r="C1588" s="82" t="s">
        <v>400</v>
      </c>
      <c r="D1588" s="81" t="s">
        <v>433</v>
      </c>
    </row>
    <row r="1589" spans="3:4">
      <c r="C1589" s="82" t="s">
        <v>400</v>
      </c>
      <c r="D1589" s="81" t="s">
        <v>432</v>
      </c>
    </row>
    <row r="1590" spans="3:4">
      <c r="C1590" s="82" t="s">
        <v>400</v>
      </c>
      <c r="D1590" s="81" t="s">
        <v>431</v>
      </c>
    </row>
    <row r="1591" spans="3:4">
      <c r="C1591" s="82" t="s">
        <v>400</v>
      </c>
      <c r="D1591" s="81" t="s">
        <v>430</v>
      </c>
    </row>
    <row r="1592" spans="3:4">
      <c r="C1592" s="82" t="s">
        <v>400</v>
      </c>
      <c r="D1592" s="81" t="s">
        <v>429</v>
      </c>
    </row>
    <row r="1593" spans="3:4">
      <c r="C1593" s="82" t="s">
        <v>400</v>
      </c>
      <c r="D1593" s="81" t="s">
        <v>428</v>
      </c>
    </row>
    <row r="1594" spans="3:4">
      <c r="C1594" s="82" t="s">
        <v>400</v>
      </c>
      <c r="D1594" s="81" t="s">
        <v>427</v>
      </c>
    </row>
    <row r="1595" spans="3:4">
      <c r="C1595" s="82" t="s">
        <v>400</v>
      </c>
      <c r="D1595" s="81" t="s">
        <v>426</v>
      </c>
    </row>
    <row r="1596" spans="3:4">
      <c r="C1596" s="82" t="s">
        <v>400</v>
      </c>
      <c r="D1596" s="81" t="s">
        <v>425</v>
      </c>
    </row>
    <row r="1597" spans="3:4">
      <c r="C1597" s="82" t="s">
        <v>400</v>
      </c>
      <c r="D1597" s="81" t="s">
        <v>424</v>
      </c>
    </row>
    <row r="1598" spans="3:4">
      <c r="C1598" s="82" t="s">
        <v>400</v>
      </c>
      <c r="D1598" s="81" t="s">
        <v>423</v>
      </c>
    </row>
    <row r="1599" spans="3:4">
      <c r="C1599" s="82" t="s">
        <v>400</v>
      </c>
      <c r="D1599" s="81" t="s">
        <v>422</v>
      </c>
    </row>
    <row r="1600" spans="3:4">
      <c r="C1600" s="82" t="s">
        <v>400</v>
      </c>
      <c r="D1600" s="81" t="s">
        <v>421</v>
      </c>
    </row>
    <row r="1601" spans="3:4">
      <c r="C1601" s="82" t="s">
        <v>400</v>
      </c>
      <c r="D1601" s="81" t="s">
        <v>420</v>
      </c>
    </row>
    <row r="1602" spans="3:4">
      <c r="C1602" s="82" t="s">
        <v>400</v>
      </c>
      <c r="D1602" s="81" t="s">
        <v>419</v>
      </c>
    </row>
    <row r="1603" spans="3:4">
      <c r="C1603" s="82" t="s">
        <v>400</v>
      </c>
      <c r="D1603" s="81" t="s">
        <v>418</v>
      </c>
    </row>
    <row r="1604" spans="3:4">
      <c r="C1604" s="82" t="s">
        <v>400</v>
      </c>
      <c r="D1604" s="81" t="s">
        <v>417</v>
      </c>
    </row>
    <row r="1605" spans="3:4">
      <c r="C1605" s="82" t="s">
        <v>400</v>
      </c>
      <c r="D1605" s="81" t="s">
        <v>416</v>
      </c>
    </row>
    <row r="1606" spans="3:4">
      <c r="C1606" s="82" t="s">
        <v>400</v>
      </c>
      <c r="D1606" s="81" t="s">
        <v>415</v>
      </c>
    </row>
    <row r="1607" spans="3:4">
      <c r="C1607" s="82" t="s">
        <v>400</v>
      </c>
      <c r="D1607" s="81" t="s">
        <v>414</v>
      </c>
    </row>
    <row r="1608" spans="3:4">
      <c r="C1608" s="82" t="s">
        <v>400</v>
      </c>
      <c r="D1608" s="81" t="s">
        <v>413</v>
      </c>
    </row>
    <row r="1609" spans="3:4">
      <c r="C1609" s="82" t="s">
        <v>400</v>
      </c>
      <c r="D1609" s="81" t="s">
        <v>412</v>
      </c>
    </row>
    <row r="1610" spans="3:4">
      <c r="C1610" s="82" t="s">
        <v>400</v>
      </c>
      <c r="D1610" s="81" t="s">
        <v>411</v>
      </c>
    </row>
    <row r="1611" spans="3:4">
      <c r="C1611" s="82" t="s">
        <v>400</v>
      </c>
      <c r="D1611" s="81" t="s">
        <v>410</v>
      </c>
    </row>
    <row r="1612" spans="3:4">
      <c r="C1612" s="82" t="s">
        <v>400</v>
      </c>
      <c r="D1612" s="81" t="s">
        <v>409</v>
      </c>
    </row>
    <row r="1613" spans="3:4">
      <c r="C1613" s="82" t="s">
        <v>400</v>
      </c>
      <c r="D1613" s="81" t="s">
        <v>408</v>
      </c>
    </row>
    <row r="1614" spans="3:4">
      <c r="C1614" s="82" t="s">
        <v>400</v>
      </c>
      <c r="D1614" s="81" t="s">
        <v>407</v>
      </c>
    </row>
    <row r="1615" spans="3:4">
      <c r="C1615" s="82" t="s">
        <v>400</v>
      </c>
      <c r="D1615" s="81" t="s">
        <v>406</v>
      </c>
    </row>
    <row r="1616" spans="3:4">
      <c r="C1616" s="82" t="s">
        <v>400</v>
      </c>
      <c r="D1616" s="81" t="s">
        <v>405</v>
      </c>
    </row>
    <row r="1617" spans="3:4">
      <c r="C1617" s="82" t="s">
        <v>400</v>
      </c>
      <c r="D1617" s="81" t="s">
        <v>404</v>
      </c>
    </row>
    <row r="1618" spans="3:4">
      <c r="C1618" s="82" t="s">
        <v>400</v>
      </c>
      <c r="D1618" s="81" t="s">
        <v>403</v>
      </c>
    </row>
    <row r="1619" spans="3:4">
      <c r="C1619" s="82" t="s">
        <v>400</v>
      </c>
      <c r="D1619" s="81" t="s">
        <v>402</v>
      </c>
    </row>
    <row r="1620" spans="3:4">
      <c r="C1620" s="82" t="s">
        <v>400</v>
      </c>
      <c r="D1620" s="81" t="s">
        <v>401</v>
      </c>
    </row>
    <row r="1621" spans="3:4">
      <c r="C1621" s="82" t="s">
        <v>400</v>
      </c>
      <c r="D1621" s="81" t="s">
        <v>399</v>
      </c>
    </row>
    <row r="1622" spans="3:4">
      <c r="C1622" s="82" t="s">
        <v>381</v>
      </c>
      <c r="D1622" s="81" t="s">
        <v>398</v>
      </c>
    </row>
    <row r="1623" spans="3:4">
      <c r="C1623" s="82" t="s">
        <v>381</v>
      </c>
      <c r="D1623" s="81" t="s">
        <v>397</v>
      </c>
    </row>
    <row r="1624" spans="3:4">
      <c r="C1624" s="82" t="s">
        <v>381</v>
      </c>
      <c r="D1624" s="81" t="s">
        <v>396</v>
      </c>
    </row>
    <row r="1625" spans="3:4">
      <c r="C1625" s="82" t="s">
        <v>381</v>
      </c>
      <c r="D1625" s="81" t="s">
        <v>395</v>
      </c>
    </row>
    <row r="1626" spans="3:4">
      <c r="C1626" s="82" t="s">
        <v>381</v>
      </c>
      <c r="D1626" s="81" t="s">
        <v>394</v>
      </c>
    </row>
    <row r="1627" spans="3:4">
      <c r="C1627" s="82" t="s">
        <v>381</v>
      </c>
      <c r="D1627" s="81" t="s">
        <v>393</v>
      </c>
    </row>
    <row r="1628" spans="3:4">
      <c r="C1628" s="82" t="s">
        <v>381</v>
      </c>
      <c r="D1628" s="81" t="s">
        <v>392</v>
      </c>
    </row>
    <row r="1629" spans="3:4">
      <c r="C1629" s="82" t="s">
        <v>381</v>
      </c>
      <c r="D1629" s="81" t="s">
        <v>391</v>
      </c>
    </row>
    <row r="1630" spans="3:4">
      <c r="C1630" s="82" t="s">
        <v>381</v>
      </c>
      <c r="D1630" s="81" t="s">
        <v>390</v>
      </c>
    </row>
    <row r="1631" spans="3:4">
      <c r="C1631" s="82" t="s">
        <v>381</v>
      </c>
      <c r="D1631" s="81" t="s">
        <v>389</v>
      </c>
    </row>
    <row r="1632" spans="3:4">
      <c r="C1632" s="82" t="s">
        <v>381</v>
      </c>
      <c r="D1632" s="81" t="s">
        <v>388</v>
      </c>
    </row>
    <row r="1633" spans="3:4">
      <c r="C1633" s="82" t="s">
        <v>381</v>
      </c>
      <c r="D1633" s="81" t="s">
        <v>387</v>
      </c>
    </row>
    <row r="1634" spans="3:4">
      <c r="C1634" s="82" t="s">
        <v>381</v>
      </c>
      <c r="D1634" s="81" t="s">
        <v>386</v>
      </c>
    </row>
    <row r="1635" spans="3:4">
      <c r="C1635" s="82" t="s">
        <v>381</v>
      </c>
      <c r="D1635" s="81" t="s">
        <v>385</v>
      </c>
    </row>
    <row r="1636" spans="3:4">
      <c r="C1636" s="82" t="s">
        <v>381</v>
      </c>
      <c r="D1636" s="81" t="s">
        <v>384</v>
      </c>
    </row>
    <row r="1637" spans="3:4">
      <c r="C1637" s="82" t="s">
        <v>381</v>
      </c>
      <c r="D1637" s="81" t="s">
        <v>383</v>
      </c>
    </row>
    <row r="1638" spans="3:4">
      <c r="C1638" s="82" t="s">
        <v>381</v>
      </c>
      <c r="D1638" s="81" t="s">
        <v>382</v>
      </c>
    </row>
    <row r="1639" spans="3:4">
      <c r="C1639" s="82" t="s">
        <v>381</v>
      </c>
      <c r="D1639" s="81" t="s">
        <v>380</v>
      </c>
    </row>
    <row r="1640" spans="3:4">
      <c r="C1640" s="82" t="s">
        <v>354</v>
      </c>
      <c r="D1640" s="81" t="s">
        <v>379</v>
      </c>
    </row>
    <row r="1641" spans="3:4">
      <c r="C1641" s="82" t="s">
        <v>354</v>
      </c>
      <c r="D1641" s="81" t="s">
        <v>378</v>
      </c>
    </row>
    <row r="1642" spans="3:4">
      <c r="C1642" s="82" t="s">
        <v>354</v>
      </c>
      <c r="D1642" s="81" t="s">
        <v>377</v>
      </c>
    </row>
    <row r="1643" spans="3:4">
      <c r="C1643" s="82" t="s">
        <v>354</v>
      </c>
      <c r="D1643" s="81" t="s">
        <v>376</v>
      </c>
    </row>
    <row r="1644" spans="3:4">
      <c r="C1644" s="82" t="s">
        <v>354</v>
      </c>
      <c r="D1644" s="81" t="s">
        <v>375</v>
      </c>
    </row>
    <row r="1645" spans="3:4">
      <c r="C1645" s="82" t="s">
        <v>354</v>
      </c>
      <c r="D1645" s="81" t="s">
        <v>374</v>
      </c>
    </row>
    <row r="1646" spans="3:4">
      <c r="C1646" s="82" t="s">
        <v>354</v>
      </c>
      <c r="D1646" s="81" t="s">
        <v>373</v>
      </c>
    </row>
    <row r="1647" spans="3:4">
      <c r="C1647" s="82" t="s">
        <v>354</v>
      </c>
      <c r="D1647" s="81" t="s">
        <v>372</v>
      </c>
    </row>
    <row r="1648" spans="3:4">
      <c r="C1648" s="82" t="s">
        <v>354</v>
      </c>
      <c r="D1648" s="81" t="s">
        <v>371</v>
      </c>
    </row>
    <row r="1649" spans="3:4">
      <c r="C1649" s="82" t="s">
        <v>354</v>
      </c>
      <c r="D1649" s="81" t="s">
        <v>370</v>
      </c>
    </row>
    <row r="1650" spans="3:4">
      <c r="C1650" s="82" t="s">
        <v>354</v>
      </c>
      <c r="D1650" s="81" t="s">
        <v>369</v>
      </c>
    </row>
    <row r="1651" spans="3:4">
      <c r="C1651" s="82" t="s">
        <v>354</v>
      </c>
      <c r="D1651" s="81" t="s">
        <v>368</v>
      </c>
    </row>
    <row r="1652" spans="3:4">
      <c r="C1652" s="82" t="s">
        <v>354</v>
      </c>
      <c r="D1652" s="81" t="s">
        <v>367</v>
      </c>
    </row>
    <row r="1653" spans="3:4">
      <c r="C1653" s="82" t="s">
        <v>354</v>
      </c>
      <c r="D1653" s="81" t="s">
        <v>366</v>
      </c>
    </row>
    <row r="1654" spans="3:4">
      <c r="C1654" s="82" t="s">
        <v>354</v>
      </c>
      <c r="D1654" s="81" t="s">
        <v>365</v>
      </c>
    </row>
    <row r="1655" spans="3:4">
      <c r="C1655" s="82" t="s">
        <v>354</v>
      </c>
      <c r="D1655" s="81" t="s">
        <v>364</v>
      </c>
    </row>
    <row r="1656" spans="3:4">
      <c r="C1656" s="82" t="s">
        <v>354</v>
      </c>
      <c r="D1656" s="81" t="s">
        <v>363</v>
      </c>
    </row>
    <row r="1657" spans="3:4">
      <c r="C1657" s="82" t="s">
        <v>354</v>
      </c>
      <c r="D1657" s="81" t="s">
        <v>362</v>
      </c>
    </row>
    <row r="1658" spans="3:4">
      <c r="C1658" s="82" t="s">
        <v>354</v>
      </c>
      <c r="D1658" s="81" t="s">
        <v>361</v>
      </c>
    </row>
    <row r="1659" spans="3:4">
      <c r="C1659" s="82" t="s">
        <v>354</v>
      </c>
      <c r="D1659" s="81" t="s">
        <v>360</v>
      </c>
    </row>
    <row r="1660" spans="3:4">
      <c r="C1660" s="82" t="s">
        <v>354</v>
      </c>
      <c r="D1660" s="81" t="s">
        <v>359</v>
      </c>
    </row>
    <row r="1661" spans="3:4">
      <c r="C1661" s="82" t="s">
        <v>354</v>
      </c>
      <c r="D1661" s="81" t="s">
        <v>358</v>
      </c>
    </row>
    <row r="1662" spans="3:4">
      <c r="C1662" s="82" t="s">
        <v>354</v>
      </c>
      <c r="D1662" s="81" t="s">
        <v>357</v>
      </c>
    </row>
    <row r="1663" spans="3:4">
      <c r="C1663" s="82" t="s">
        <v>354</v>
      </c>
      <c r="D1663" s="81" t="s">
        <v>356</v>
      </c>
    </row>
    <row r="1664" spans="3:4">
      <c r="C1664" s="82" t="s">
        <v>354</v>
      </c>
      <c r="D1664" s="81" t="s">
        <v>355</v>
      </c>
    </row>
    <row r="1665" spans="3:4">
      <c r="C1665" s="82" t="s">
        <v>354</v>
      </c>
      <c r="D1665" s="81" t="s">
        <v>353</v>
      </c>
    </row>
    <row r="1666" spans="3:4">
      <c r="C1666" s="82" t="s">
        <v>310</v>
      </c>
      <c r="D1666" s="81" t="s">
        <v>352</v>
      </c>
    </row>
    <row r="1667" spans="3:4">
      <c r="C1667" s="82" t="s">
        <v>310</v>
      </c>
      <c r="D1667" s="81" t="s">
        <v>351</v>
      </c>
    </row>
    <row r="1668" spans="3:4">
      <c r="C1668" s="82" t="s">
        <v>310</v>
      </c>
      <c r="D1668" s="81" t="s">
        <v>350</v>
      </c>
    </row>
    <row r="1669" spans="3:4">
      <c r="C1669" s="82" t="s">
        <v>310</v>
      </c>
      <c r="D1669" s="81" t="s">
        <v>349</v>
      </c>
    </row>
    <row r="1670" spans="3:4">
      <c r="C1670" s="82" t="s">
        <v>310</v>
      </c>
      <c r="D1670" s="81" t="s">
        <v>348</v>
      </c>
    </row>
    <row r="1671" spans="3:4">
      <c r="C1671" s="82" t="s">
        <v>310</v>
      </c>
      <c r="D1671" s="81" t="s">
        <v>347</v>
      </c>
    </row>
    <row r="1672" spans="3:4">
      <c r="C1672" s="82" t="s">
        <v>310</v>
      </c>
      <c r="D1672" s="81" t="s">
        <v>346</v>
      </c>
    </row>
    <row r="1673" spans="3:4">
      <c r="C1673" s="82" t="s">
        <v>310</v>
      </c>
      <c r="D1673" s="81" t="s">
        <v>345</v>
      </c>
    </row>
    <row r="1674" spans="3:4">
      <c r="C1674" s="82" t="s">
        <v>310</v>
      </c>
      <c r="D1674" s="81" t="s">
        <v>344</v>
      </c>
    </row>
    <row r="1675" spans="3:4">
      <c r="C1675" s="82" t="s">
        <v>310</v>
      </c>
      <c r="D1675" s="81" t="s">
        <v>343</v>
      </c>
    </row>
    <row r="1676" spans="3:4">
      <c r="C1676" s="82" t="s">
        <v>310</v>
      </c>
      <c r="D1676" s="81" t="s">
        <v>342</v>
      </c>
    </row>
    <row r="1677" spans="3:4">
      <c r="C1677" s="82" t="s">
        <v>310</v>
      </c>
      <c r="D1677" s="81" t="s">
        <v>341</v>
      </c>
    </row>
    <row r="1678" spans="3:4">
      <c r="C1678" s="82" t="s">
        <v>310</v>
      </c>
      <c r="D1678" s="81" t="s">
        <v>340</v>
      </c>
    </row>
    <row r="1679" spans="3:4">
      <c r="C1679" s="82" t="s">
        <v>310</v>
      </c>
      <c r="D1679" s="81" t="s">
        <v>339</v>
      </c>
    </row>
    <row r="1680" spans="3:4">
      <c r="C1680" s="82" t="s">
        <v>310</v>
      </c>
      <c r="D1680" s="81" t="s">
        <v>338</v>
      </c>
    </row>
    <row r="1681" spans="3:4">
      <c r="C1681" s="82" t="s">
        <v>310</v>
      </c>
      <c r="D1681" s="81" t="s">
        <v>337</v>
      </c>
    </row>
    <row r="1682" spans="3:4">
      <c r="C1682" s="82" t="s">
        <v>310</v>
      </c>
      <c r="D1682" s="81" t="s">
        <v>336</v>
      </c>
    </row>
    <row r="1683" spans="3:4">
      <c r="C1683" s="82" t="s">
        <v>310</v>
      </c>
      <c r="D1683" s="81" t="s">
        <v>335</v>
      </c>
    </row>
    <row r="1684" spans="3:4">
      <c r="C1684" s="82" t="s">
        <v>310</v>
      </c>
      <c r="D1684" s="81" t="s">
        <v>334</v>
      </c>
    </row>
    <row r="1685" spans="3:4">
      <c r="C1685" s="82" t="s">
        <v>310</v>
      </c>
      <c r="D1685" s="81" t="s">
        <v>333</v>
      </c>
    </row>
    <row r="1686" spans="3:4">
      <c r="C1686" s="82" t="s">
        <v>310</v>
      </c>
      <c r="D1686" s="81" t="s">
        <v>332</v>
      </c>
    </row>
    <row r="1687" spans="3:4">
      <c r="C1687" s="82" t="s">
        <v>310</v>
      </c>
      <c r="D1687" s="81" t="s">
        <v>331</v>
      </c>
    </row>
    <row r="1688" spans="3:4">
      <c r="C1688" s="82" t="s">
        <v>310</v>
      </c>
      <c r="D1688" s="81" t="s">
        <v>330</v>
      </c>
    </row>
    <row r="1689" spans="3:4">
      <c r="C1689" s="82" t="s">
        <v>310</v>
      </c>
      <c r="D1689" s="81" t="s">
        <v>329</v>
      </c>
    </row>
    <row r="1690" spans="3:4">
      <c r="C1690" s="82" t="s">
        <v>310</v>
      </c>
      <c r="D1690" s="81" t="s">
        <v>328</v>
      </c>
    </row>
    <row r="1691" spans="3:4">
      <c r="C1691" s="82" t="s">
        <v>310</v>
      </c>
      <c r="D1691" s="81" t="s">
        <v>327</v>
      </c>
    </row>
    <row r="1692" spans="3:4">
      <c r="C1692" s="82" t="s">
        <v>310</v>
      </c>
      <c r="D1692" s="81" t="s">
        <v>326</v>
      </c>
    </row>
    <row r="1693" spans="3:4">
      <c r="C1693" s="82" t="s">
        <v>310</v>
      </c>
      <c r="D1693" s="81" t="s">
        <v>325</v>
      </c>
    </row>
    <row r="1694" spans="3:4">
      <c r="C1694" s="82" t="s">
        <v>310</v>
      </c>
      <c r="D1694" s="81" t="s">
        <v>324</v>
      </c>
    </row>
    <row r="1695" spans="3:4">
      <c r="C1695" s="82" t="s">
        <v>310</v>
      </c>
      <c r="D1695" s="81" t="s">
        <v>323</v>
      </c>
    </row>
    <row r="1696" spans="3:4">
      <c r="C1696" s="82" t="s">
        <v>310</v>
      </c>
      <c r="D1696" s="81" t="s">
        <v>322</v>
      </c>
    </row>
    <row r="1697" spans="3:4">
      <c r="C1697" s="82" t="s">
        <v>310</v>
      </c>
      <c r="D1697" s="81" t="s">
        <v>321</v>
      </c>
    </row>
    <row r="1698" spans="3:4">
      <c r="C1698" s="82" t="s">
        <v>310</v>
      </c>
      <c r="D1698" s="81" t="s">
        <v>320</v>
      </c>
    </row>
    <row r="1699" spans="3:4">
      <c r="C1699" s="82" t="s">
        <v>310</v>
      </c>
      <c r="D1699" s="81" t="s">
        <v>319</v>
      </c>
    </row>
    <row r="1700" spans="3:4">
      <c r="C1700" s="82" t="s">
        <v>310</v>
      </c>
      <c r="D1700" s="81" t="s">
        <v>318</v>
      </c>
    </row>
    <row r="1701" spans="3:4">
      <c r="C1701" s="82" t="s">
        <v>310</v>
      </c>
      <c r="D1701" s="81" t="s">
        <v>317</v>
      </c>
    </row>
    <row r="1702" spans="3:4">
      <c r="C1702" s="82" t="s">
        <v>310</v>
      </c>
      <c r="D1702" s="81" t="s">
        <v>316</v>
      </c>
    </row>
    <row r="1703" spans="3:4">
      <c r="C1703" s="82" t="s">
        <v>310</v>
      </c>
      <c r="D1703" s="81" t="s">
        <v>315</v>
      </c>
    </row>
    <row r="1704" spans="3:4">
      <c r="C1704" s="82" t="s">
        <v>310</v>
      </c>
      <c r="D1704" s="81" t="s">
        <v>314</v>
      </c>
    </row>
    <row r="1705" spans="3:4">
      <c r="C1705" s="82" t="s">
        <v>310</v>
      </c>
      <c r="D1705" s="81" t="s">
        <v>313</v>
      </c>
    </row>
    <row r="1706" spans="3:4">
      <c r="C1706" s="82" t="s">
        <v>310</v>
      </c>
      <c r="D1706" s="81" t="s">
        <v>312</v>
      </c>
    </row>
    <row r="1707" spans="3:4">
      <c r="C1707" s="82" t="s">
        <v>310</v>
      </c>
      <c r="D1707" s="81" t="s">
        <v>311</v>
      </c>
    </row>
    <row r="1708" spans="3:4">
      <c r="C1708" s="82" t="s">
        <v>310</v>
      </c>
      <c r="D1708" s="81" t="s">
        <v>309</v>
      </c>
    </row>
    <row r="1709" spans="3:4">
      <c r="C1709" s="82" t="s">
        <v>268</v>
      </c>
      <c r="D1709" s="81" t="s">
        <v>308</v>
      </c>
    </row>
    <row r="1710" spans="3:4">
      <c r="C1710" s="82" t="s">
        <v>268</v>
      </c>
      <c r="D1710" s="81" t="s">
        <v>307</v>
      </c>
    </row>
    <row r="1711" spans="3:4">
      <c r="C1711" s="82" t="s">
        <v>268</v>
      </c>
      <c r="D1711" s="81" t="s">
        <v>306</v>
      </c>
    </row>
    <row r="1712" spans="3:4">
      <c r="C1712" s="82" t="s">
        <v>268</v>
      </c>
      <c r="D1712" s="81" t="s">
        <v>305</v>
      </c>
    </row>
    <row r="1713" spans="3:4">
      <c r="C1713" s="82" t="s">
        <v>268</v>
      </c>
      <c r="D1713" s="81" t="s">
        <v>304</v>
      </c>
    </row>
    <row r="1714" spans="3:4">
      <c r="C1714" s="82" t="s">
        <v>268</v>
      </c>
      <c r="D1714" s="81" t="s">
        <v>303</v>
      </c>
    </row>
    <row r="1715" spans="3:4">
      <c r="C1715" s="82" t="s">
        <v>268</v>
      </c>
      <c r="D1715" s="81" t="s">
        <v>302</v>
      </c>
    </row>
    <row r="1716" spans="3:4">
      <c r="C1716" s="82" t="s">
        <v>268</v>
      </c>
      <c r="D1716" s="81" t="s">
        <v>301</v>
      </c>
    </row>
    <row r="1717" spans="3:4">
      <c r="C1717" s="82" t="s">
        <v>268</v>
      </c>
      <c r="D1717" s="81" t="s">
        <v>300</v>
      </c>
    </row>
    <row r="1718" spans="3:4">
      <c r="C1718" s="82" t="s">
        <v>268</v>
      </c>
      <c r="D1718" s="81" t="s">
        <v>299</v>
      </c>
    </row>
    <row r="1719" spans="3:4">
      <c r="C1719" s="82" t="s">
        <v>268</v>
      </c>
      <c r="D1719" s="81" t="s">
        <v>298</v>
      </c>
    </row>
    <row r="1720" spans="3:4">
      <c r="C1720" s="82" t="s">
        <v>268</v>
      </c>
      <c r="D1720" s="81" t="s">
        <v>297</v>
      </c>
    </row>
    <row r="1721" spans="3:4">
      <c r="C1721" s="82" t="s">
        <v>268</v>
      </c>
      <c r="D1721" s="81" t="s">
        <v>296</v>
      </c>
    </row>
    <row r="1722" spans="3:4">
      <c r="C1722" s="82" t="s">
        <v>268</v>
      </c>
      <c r="D1722" s="81" t="s">
        <v>295</v>
      </c>
    </row>
    <row r="1723" spans="3:4">
      <c r="C1723" s="82" t="s">
        <v>268</v>
      </c>
      <c r="D1723" s="81" t="s">
        <v>294</v>
      </c>
    </row>
    <row r="1724" spans="3:4">
      <c r="C1724" s="82" t="s">
        <v>268</v>
      </c>
      <c r="D1724" s="81" t="s">
        <v>293</v>
      </c>
    </row>
    <row r="1725" spans="3:4">
      <c r="C1725" s="82" t="s">
        <v>268</v>
      </c>
      <c r="D1725" s="81" t="s">
        <v>292</v>
      </c>
    </row>
    <row r="1726" spans="3:4">
      <c r="C1726" s="82" t="s">
        <v>268</v>
      </c>
      <c r="D1726" s="81" t="s">
        <v>291</v>
      </c>
    </row>
    <row r="1727" spans="3:4">
      <c r="C1727" s="82" t="s">
        <v>268</v>
      </c>
      <c r="D1727" s="81" t="s">
        <v>290</v>
      </c>
    </row>
    <row r="1728" spans="3:4">
      <c r="C1728" s="82" t="s">
        <v>268</v>
      </c>
      <c r="D1728" s="81" t="s">
        <v>289</v>
      </c>
    </row>
    <row r="1729" spans="3:4">
      <c r="C1729" s="82" t="s">
        <v>268</v>
      </c>
      <c r="D1729" s="81" t="s">
        <v>288</v>
      </c>
    </row>
    <row r="1730" spans="3:4">
      <c r="C1730" s="82" t="s">
        <v>268</v>
      </c>
      <c r="D1730" s="81" t="s">
        <v>287</v>
      </c>
    </row>
    <row r="1731" spans="3:4">
      <c r="C1731" s="82" t="s">
        <v>268</v>
      </c>
      <c r="D1731" s="81" t="s">
        <v>286</v>
      </c>
    </row>
    <row r="1732" spans="3:4">
      <c r="C1732" s="82" t="s">
        <v>268</v>
      </c>
      <c r="D1732" s="81" t="s">
        <v>285</v>
      </c>
    </row>
    <row r="1733" spans="3:4">
      <c r="C1733" s="82" t="s">
        <v>268</v>
      </c>
      <c r="D1733" s="81" t="s">
        <v>284</v>
      </c>
    </row>
    <row r="1734" spans="3:4">
      <c r="C1734" s="82" t="s">
        <v>268</v>
      </c>
      <c r="D1734" s="81" t="s">
        <v>283</v>
      </c>
    </row>
    <row r="1735" spans="3:4">
      <c r="C1735" s="82" t="s">
        <v>268</v>
      </c>
      <c r="D1735" s="81" t="s">
        <v>282</v>
      </c>
    </row>
    <row r="1736" spans="3:4">
      <c r="C1736" s="82" t="s">
        <v>268</v>
      </c>
      <c r="D1736" s="81" t="s">
        <v>281</v>
      </c>
    </row>
    <row r="1737" spans="3:4">
      <c r="C1737" s="82" t="s">
        <v>268</v>
      </c>
      <c r="D1737" s="81" t="s">
        <v>280</v>
      </c>
    </row>
    <row r="1738" spans="3:4">
      <c r="C1738" s="82" t="s">
        <v>268</v>
      </c>
      <c r="D1738" s="81" t="s">
        <v>279</v>
      </c>
    </row>
    <row r="1739" spans="3:4">
      <c r="C1739" s="82" t="s">
        <v>268</v>
      </c>
      <c r="D1739" s="81" t="s">
        <v>278</v>
      </c>
    </row>
    <row r="1740" spans="3:4">
      <c r="C1740" s="82" t="s">
        <v>268</v>
      </c>
      <c r="D1740" s="81" t="s">
        <v>277</v>
      </c>
    </row>
    <row r="1741" spans="3:4">
      <c r="C1741" s="82" t="s">
        <v>268</v>
      </c>
      <c r="D1741" s="81" t="s">
        <v>276</v>
      </c>
    </row>
    <row r="1742" spans="3:4">
      <c r="C1742" s="82" t="s">
        <v>268</v>
      </c>
      <c r="D1742" s="81" t="s">
        <v>275</v>
      </c>
    </row>
    <row r="1743" spans="3:4">
      <c r="C1743" s="82" t="s">
        <v>268</v>
      </c>
      <c r="D1743" s="81" t="s">
        <v>274</v>
      </c>
    </row>
    <row r="1744" spans="3:4">
      <c r="C1744" s="82" t="s">
        <v>268</v>
      </c>
      <c r="D1744" s="81" t="s">
        <v>273</v>
      </c>
    </row>
    <row r="1745" spans="3:4">
      <c r="C1745" s="82" t="s">
        <v>268</v>
      </c>
      <c r="D1745" s="81" t="s">
        <v>272</v>
      </c>
    </row>
    <row r="1746" spans="3:4">
      <c r="C1746" s="82" t="s">
        <v>268</v>
      </c>
      <c r="D1746" s="81" t="s">
        <v>271</v>
      </c>
    </row>
    <row r="1747" spans="3:4">
      <c r="C1747" s="82" t="s">
        <v>268</v>
      </c>
      <c r="D1747" s="81" t="s">
        <v>270</v>
      </c>
    </row>
    <row r="1748" spans="3:4">
      <c r="C1748" s="82" t="s">
        <v>268</v>
      </c>
      <c r="D1748" s="81" t="s">
        <v>269</v>
      </c>
    </row>
    <row r="1749" spans="3:4" ht="14.25" thickBot="1">
      <c r="C1749" s="80" t="s">
        <v>268</v>
      </c>
      <c r="D1749" s="79" t="s">
        <v>267</v>
      </c>
    </row>
  </sheetData>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2024-03-25T23:53:54Z</dcterms:modified>
</cp:coreProperties>
</file>